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20730" windowHeight="10005"/>
  </bookViews>
  <sheets>
    <sheet name="DICIEMBRE 2015" sheetId="2" r:id="rId1"/>
  </sheets>
  <calcPr calcId="145621"/>
</workbook>
</file>

<file path=xl/calcChain.xml><?xml version="1.0" encoding="utf-8"?>
<calcChain xmlns="http://schemas.openxmlformats.org/spreadsheetml/2006/main">
  <c r="D63" i="2" l="1"/>
  <c r="M62" i="2"/>
  <c r="K62" i="2"/>
  <c r="H62" i="2"/>
  <c r="N62" i="2" s="1"/>
  <c r="O62" i="2" s="1"/>
  <c r="M61" i="2"/>
  <c r="K61" i="2"/>
  <c r="I61" i="2"/>
  <c r="H61" i="2"/>
  <c r="N61" i="2" s="1"/>
  <c r="O61" i="2" s="1"/>
  <c r="I60" i="2"/>
  <c r="M60" i="2" s="1"/>
  <c r="H60" i="2"/>
  <c r="K59" i="2"/>
  <c r="L59" i="2" s="1"/>
  <c r="I59" i="2"/>
  <c r="M59" i="2" s="1"/>
  <c r="H59" i="2"/>
  <c r="I58" i="2"/>
  <c r="M58" i="2" s="1"/>
  <c r="H58" i="2"/>
  <c r="M57" i="2"/>
  <c r="K57" i="2"/>
  <c r="I57" i="2"/>
  <c r="H57" i="2"/>
  <c r="N57" i="2" s="1"/>
  <c r="O57" i="2" s="1"/>
  <c r="I56" i="2"/>
  <c r="M56" i="2" s="1"/>
  <c r="H56" i="2"/>
  <c r="K55" i="2"/>
  <c r="L55" i="2" s="1"/>
  <c r="I55" i="2"/>
  <c r="M55" i="2" s="1"/>
  <c r="H55" i="2"/>
  <c r="M54" i="2"/>
  <c r="K54" i="2"/>
  <c r="H54" i="2"/>
  <c r="I53" i="2"/>
  <c r="M53" i="2" s="1"/>
  <c r="H53" i="2"/>
  <c r="J52" i="2"/>
  <c r="G52" i="2"/>
  <c r="F52" i="2"/>
  <c r="E52" i="2"/>
  <c r="C52" i="2"/>
  <c r="K51" i="2"/>
  <c r="L51" i="2" s="1"/>
  <c r="I51" i="2"/>
  <c r="M51" i="2" s="1"/>
  <c r="H51" i="2"/>
  <c r="G51" i="2"/>
  <c r="I50" i="2"/>
  <c r="M50" i="2" s="1"/>
  <c r="G50" i="2"/>
  <c r="H50" i="2" s="1"/>
  <c r="I49" i="2"/>
  <c r="M49" i="2" s="1"/>
  <c r="G49" i="2"/>
  <c r="H49" i="2" s="1"/>
  <c r="I48" i="2"/>
  <c r="M48" i="2" s="1"/>
  <c r="G48" i="2"/>
  <c r="H48" i="2" s="1"/>
  <c r="J47" i="2"/>
  <c r="F47" i="2"/>
  <c r="E47" i="2"/>
  <c r="C47" i="2"/>
  <c r="M46" i="2"/>
  <c r="K46" i="2"/>
  <c r="H46" i="2"/>
  <c r="N46" i="2" s="1"/>
  <c r="O46" i="2" s="1"/>
  <c r="M45" i="2"/>
  <c r="K45" i="2"/>
  <c r="H45" i="2"/>
  <c r="I44" i="2"/>
  <c r="M44" i="2" s="1"/>
  <c r="H44" i="2"/>
  <c r="I43" i="2"/>
  <c r="M43" i="2" s="1"/>
  <c r="H43" i="2"/>
  <c r="I42" i="2"/>
  <c r="M42" i="2" s="1"/>
  <c r="H42" i="2"/>
  <c r="M41" i="2"/>
  <c r="I41" i="2"/>
  <c r="K41" i="2" s="1"/>
  <c r="L41" i="2" s="1"/>
  <c r="G41" i="2"/>
  <c r="H41" i="2" s="1"/>
  <c r="M40" i="2"/>
  <c r="K40" i="2"/>
  <c r="I40" i="2"/>
  <c r="H40" i="2"/>
  <c r="N40" i="2" s="1"/>
  <c r="O40" i="2" s="1"/>
  <c r="I39" i="2"/>
  <c r="M39" i="2" s="1"/>
  <c r="G39" i="2"/>
  <c r="H39" i="2" s="1"/>
  <c r="K38" i="2"/>
  <c r="L38" i="2" s="1"/>
  <c r="I38" i="2"/>
  <c r="M38" i="2" s="1"/>
  <c r="H38" i="2"/>
  <c r="G38" i="2"/>
  <c r="M37" i="2"/>
  <c r="I37" i="2"/>
  <c r="K37" i="2" s="1"/>
  <c r="F37" i="2"/>
  <c r="F30" i="2" s="1"/>
  <c r="M36" i="2"/>
  <c r="K36" i="2"/>
  <c r="I36" i="2"/>
  <c r="H36" i="2"/>
  <c r="N36" i="2" s="1"/>
  <c r="O36" i="2" s="1"/>
  <c r="I35" i="2"/>
  <c r="M35" i="2" s="1"/>
  <c r="H35" i="2"/>
  <c r="I34" i="2"/>
  <c r="M34" i="2" s="1"/>
  <c r="H34" i="2"/>
  <c r="N34" i="2" s="1"/>
  <c r="O34" i="2" s="1"/>
  <c r="M33" i="2"/>
  <c r="K33" i="2"/>
  <c r="I33" i="2"/>
  <c r="H33" i="2"/>
  <c r="N33" i="2" s="1"/>
  <c r="O33" i="2" s="1"/>
  <c r="F33" i="2"/>
  <c r="M32" i="2"/>
  <c r="H32" i="2"/>
  <c r="N32" i="2" s="1"/>
  <c r="O32" i="2" s="1"/>
  <c r="I31" i="2"/>
  <c r="M31" i="2" s="1"/>
  <c r="H31" i="2"/>
  <c r="J30" i="2"/>
  <c r="G30" i="2"/>
  <c r="E30" i="2"/>
  <c r="C30" i="2"/>
  <c r="M29" i="2"/>
  <c r="K29" i="2"/>
  <c r="H29" i="2"/>
  <c r="N29" i="2" s="1"/>
  <c r="O29" i="2" s="1"/>
  <c r="M28" i="2"/>
  <c r="K28" i="2"/>
  <c r="L28" i="2" s="1"/>
  <c r="I28" i="2"/>
  <c r="H28" i="2"/>
  <c r="M27" i="2"/>
  <c r="H27" i="2"/>
  <c r="N27" i="2" s="1"/>
  <c r="I26" i="2"/>
  <c r="M26" i="2" s="1"/>
  <c r="G26" i="2"/>
  <c r="H26" i="2" s="1"/>
  <c r="M25" i="2"/>
  <c r="K25" i="2"/>
  <c r="H25" i="2"/>
  <c r="J24" i="2"/>
  <c r="I24" i="2"/>
  <c r="G24" i="2"/>
  <c r="F24" i="2"/>
  <c r="E24" i="2"/>
  <c r="C24" i="2"/>
  <c r="M23" i="2"/>
  <c r="K23" i="2"/>
  <c r="H23" i="2"/>
  <c r="N23" i="2" s="1"/>
  <c r="O23" i="2" s="1"/>
  <c r="M22" i="2"/>
  <c r="K22" i="2"/>
  <c r="H22" i="2"/>
  <c r="I21" i="2"/>
  <c r="M21" i="2" s="1"/>
  <c r="E21" i="2"/>
  <c r="E19" i="2" s="1"/>
  <c r="I20" i="2"/>
  <c r="M20" i="2" s="1"/>
  <c r="H20" i="2"/>
  <c r="J19" i="2"/>
  <c r="G19" i="2"/>
  <c r="F19" i="2"/>
  <c r="C19" i="2"/>
  <c r="I18" i="2"/>
  <c r="M18" i="2" s="1"/>
  <c r="H18" i="2"/>
  <c r="I17" i="2"/>
  <c r="M17" i="2" s="1"/>
  <c r="H17" i="2"/>
  <c r="I16" i="2"/>
  <c r="M16" i="2" s="1"/>
  <c r="H16" i="2"/>
  <c r="M15" i="2"/>
  <c r="I15" i="2"/>
  <c r="K15" i="2" s="1"/>
  <c r="L15" i="2" s="1"/>
  <c r="H15" i="2"/>
  <c r="M14" i="2"/>
  <c r="K14" i="2"/>
  <c r="H14" i="2"/>
  <c r="N14" i="2" s="1"/>
  <c r="O14" i="2" s="1"/>
  <c r="I13" i="2"/>
  <c r="M13" i="2" s="1"/>
  <c r="H13" i="2"/>
  <c r="I12" i="2"/>
  <c r="M12" i="2" s="1"/>
  <c r="H12" i="2"/>
  <c r="I11" i="2"/>
  <c r="M11" i="2" s="1"/>
  <c r="G11" i="2"/>
  <c r="H11" i="2" s="1"/>
  <c r="I10" i="2"/>
  <c r="M10" i="2" s="1"/>
  <c r="H10" i="2"/>
  <c r="N10" i="2" s="1"/>
  <c r="O10" i="2" s="1"/>
  <c r="E10" i="2"/>
  <c r="I9" i="2"/>
  <c r="M9" i="2" s="1"/>
  <c r="G9" i="2"/>
  <c r="C9" i="2"/>
  <c r="C8" i="2" s="1"/>
  <c r="J8" i="2"/>
  <c r="F8" i="2"/>
  <c r="E8" i="2"/>
  <c r="D8" i="2"/>
  <c r="M8" i="2" l="1"/>
  <c r="N41" i="2"/>
  <c r="O41" i="2" s="1"/>
  <c r="F63" i="2"/>
  <c r="J63" i="2"/>
  <c r="N20" i="2"/>
  <c r="N19" i="2" s="1"/>
  <c r="O19" i="2" s="1"/>
  <c r="M30" i="2"/>
  <c r="K9" i="2"/>
  <c r="N15" i="2"/>
  <c r="O15" i="2" s="1"/>
  <c r="K17" i="2"/>
  <c r="L17" i="2" s="1"/>
  <c r="H19" i="2"/>
  <c r="H21" i="2"/>
  <c r="N21" i="2" s="1"/>
  <c r="O21" i="2" s="1"/>
  <c r="I30" i="2"/>
  <c r="H37" i="2"/>
  <c r="N37" i="2" s="1"/>
  <c r="O37" i="2" s="1"/>
  <c r="K43" i="2"/>
  <c r="L43" i="2" s="1"/>
  <c r="N45" i="2"/>
  <c r="O45" i="2" s="1"/>
  <c r="L62" i="2"/>
  <c r="K12" i="2"/>
  <c r="L12" i="2" s="1"/>
  <c r="I19" i="2"/>
  <c r="K20" i="2"/>
  <c r="L20" i="2" s="1"/>
  <c r="M24" i="2"/>
  <c r="N28" i="2"/>
  <c r="O28" i="2" s="1"/>
  <c r="L33" i="2"/>
  <c r="L36" i="2"/>
  <c r="N38" i="2"/>
  <c r="L40" i="2"/>
  <c r="N51" i="2"/>
  <c r="H52" i="2"/>
  <c r="N55" i="2"/>
  <c r="O55" i="2" s="1"/>
  <c r="L57" i="2"/>
  <c r="N59" i="2"/>
  <c r="O59" i="2" s="1"/>
  <c r="L61" i="2"/>
  <c r="E63" i="2"/>
  <c r="N22" i="2"/>
  <c r="O22" i="2" s="1"/>
  <c r="N25" i="2"/>
  <c r="O25" i="2" s="1"/>
  <c r="L29" i="2"/>
  <c r="N43" i="2"/>
  <c r="O43" i="2" s="1"/>
  <c r="I52" i="2"/>
  <c r="N54" i="2"/>
  <c r="O54" i="2" s="1"/>
  <c r="H47" i="2"/>
  <c r="M19" i="2"/>
  <c r="H24" i="2"/>
  <c r="H30" i="2"/>
  <c r="C63" i="2"/>
  <c r="H9" i="2"/>
  <c r="L9" i="2" s="1"/>
  <c r="L10" i="2"/>
  <c r="L14" i="2"/>
  <c r="L21" i="2"/>
  <c r="L22" i="2"/>
  <c r="L23" i="2"/>
  <c r="L25" i="2"/>
  <c r="L45" i="2"/>
  <c r="L46" i="2"/>
  <c r="O51" i="2"/>
  <c r="K52" i="2"/>
  <c r="M52" i="2"/>
  <c r="L54" i="2"/>
  <c r="G8" i="2"/>
  <c r="I8" i="2"/>
  <c r="K11" i="2"/>
  <c r="L11" i="2" s="1"/>
  <c r="K13" i="2"/>
  <c r="K16" i="2"/>
  <c r="K18" i="2"/>
  <c r="K19" i="2"/>
  <c r="L19" i="2" s="1"/>
  <c r="K26" i="2"/>
  <c r="L27" i="2"/>
  <c r="K31" i="2"/>
  <c r="L32" i="2"/>
  <c r="L34" i="2"/>
  <c r="K35" i="2"/>
  <c r="K39" i="2"/>
  <c r="L39" i="2" s="1"/>
  <c r="K42" i="2"/>
  <c r="K44" i="2"/>
  <c r="G47" i="2"/>
  <c r="G63" i="2" s="1"/>
  <c r="G66" i="2" s="1"/>
  <c r="I47" i="2"/>
  <c r="I63" i="2" s="1"/>
  <c r="K48" i="2"/>
  <c r="N48" i="2" s="1"/>
  <c r="K49" i="2"/>
  <c r="L49" i="2" s="1"/>
  <c r="K50" i="2"/>
  <c r="L50" i="2" s="1"/>
  <c r="K53" i="2"/>
  <c r="K56" i="2"/>
  <c r="K58" i="2"/>
  <c r="K60" i="2"/>
  <c r="O20" i="2" l="1"/>
  <c r="N12" i="2"/>
  <c r="O12" i="2" s="1"/>
  <c r="L37" i="2"/>
  <c r="N17" i="2"/>
  <c r="O17" i="2" s="1"/>
  <c r="O48" i="2"/>
  <c r="N53" i="2"/>
  <c r="L53" i="2"/>
  <c r="N44" i="2"/>
  <c r="O44" i="2" s="1"/>
  <c r="L44" i="2"/>
  <c r="N31" i="2"/>
  <c r="L31" i="2"/>
  <c r="K30" i="2"/>
  <c r="L30" i="2" s="1"/>
  <c r="K24" i="2"/>
  <c r="L24" i="2" s="1"/>
  <c r="L26" i="2"/>
  <c r="N18" i="2"/>
  <c r="O18" i="2" s="1"/>
  <c r="L18" i="2"/>
  <c r="N13" i="2"/>
  <c r="O13" i="2" s="1"/>
  <c r="L13" i="2"/>
  <c r="K8" i="2"/>
  <c r="K63" i="2" s="1"/>
  <c r="L63" i="2" s="1"/>
  <c r="N11" i="2"/>
  <c r="O11" i="2" s="1"/>
  <c r="N26" i="2"/>
  <c r="N49" i="2"/>
  <c r="O49" i="2" s="1"/>
  <c r="N58" i="2"/>
  <c r="O58" i="2" s="1"/>
  <c r="L58" i="2"/>
  <c r="N60" i="2"/>
  <c r="O60" i="2" s="1"/>
  <c r="L60" i="2"/>
  <c r="N56" i="2"/>
  <c r="O56" i="2" s="1"/>
  <c r="L56" i="2"/>
  <c r="K47" i="2"/>
  <c r="L47" i="2" s="1"/>
  <c r="L48" i="2"/>
  <c r="N42" i="2"/>
  <c r="O42" i="2" s="1"/>
  <c r="L42" i="2"/>
  <c r="N35" i="2"/>
  <c r="O35" i="2" s="1"/>
  <c r="L35" i="2"/>
  <c r="N16" i="2"/>
  <c r="O16" i="2" s="1"/>
  <c r="L16" i="2"/>
  <c r="L52" i="2"/>
  <c r="N9" i="2"/>
  <c r="H8" i="2"/>
  <c r="H63" i="2" s="1"/>
  <c r="M47" i="2"/>
  <c r="M63" i="2" s="1"/>
  <c r="N39" i="2"/>
  <c r="O39" i="2" s="1"/>
  <c r="N50" i="2"/>
  <c r="O9" i="2" l="1"/>
  <c r="N8" i="2"/>
  <c r="O8" i="2" s="1"/>
  <c r="O26" i="2"/>
  <c r="N24" i="2"/>
  <c r="O24" i="2" s="1"/>
  <c r="O31" i="2"/>
  <c r="N30" i="2"/>
  <c r="O30" i="2" s="1"/>
  <c r="O53" i="2"/>
  <c r="N52" i="2"/>
  <c r="L8" i="2"/>
  <c r="N47" i="2"/>
  <c r="O47" i="2" s="1"/>
  <c r="N63" i="2" l="1"/>
  <c r="O63" i="2" s="1"/>
  <c r="O52" i="2"/>
</calcChain>
</file>

<file path=xl/sharedStrings.xml><?xml version="1.0" encoding="utf-8"?>
<sst xmlns="http://schemas.openxmlformats.org/spreadsheetml/2006/main" count="130" uniqueCount="118">
  <si>
    <t>CONTRALORIA DEPARTAMENTAL DEL GUAVIARE</t>
  </si>
  <si>
    <t>CODIG</t>
  </si>
  <si>
    <t>CONCEPTO</t>
  </si>
  <si>
    <t>APROPIACIÒN</t>
  </si>
  <si>
    <t>ADICION</t>
  </si>
  <si>
    <t>CREDITOS</t>
  </si>
  <si>
    <t>TOTAL</t>
  </si>
  <si>
    <t xml:space="preserve">TOTAL </t>
  </si>
  <si>
    <t>%</t>
  </si>
  <si>
    <t>SALDO</t>
  </si>
  <si>
    <t>INICIAL</t>
  </si>
  <si>
    <t xml:space="preserve">MESES  ANTER. </t>
  </si>
  <si>
    <t>MES</t>
  </si>
  <si>
    <t>EJECUCION PRESUPUESTAL  DE  GASTOS</t>
  </si>
  <si>
    <t>DICIEMBRE DE  2015</t>
  </si>
  <si>
    <t>REDUCCION</t>
  </si>
  <si>
    <t>CONTRA</t>
  </si>
  <si>
    <t>EJECUCIÒN</t>
  </si>
  <si>
    <t>EJECUCION</t>
  </si>
  <si>
    <t>EJECUTADO</t>
  </si>
  <si>
    <t>DISPONIBLE</t>
  </si>
  <si>
    <t>20201101</t>
  </si>
  <si>
    <t>SERVICIOS PERSONALES</t>
  </si>
  <si>
    <t>2020110101</t>
  </si>
  <si>
    <t>SUELDO PERSONAL NOMINA</t>
  </si>
  <si>
    <t>2020110102</t>
  </si>
  <si>
    <t>GASTOS DE REPRESENTACION</t>
  </si>
  <si>
    <t>2020110103</t>
  </si>
  <si>
    <t>AUXILIO DE TRANSPORTE</t>
  </si>
  <si>
    <t>2020110104</t>
  </si>
  <si>
    <t>SUBSIDIO DE ALIMENTACIÒN</t>
  </si>
  <si>
    <t>2020110105</t>
  </si>
  <si>
    <t>BONIFICACION SERV. PRESTADOS</t>
  </si>
  <si>
    <t>2020110106</t>
  </si>
  <si>
    <t>PRIMA SEMESTRAL</t>
  </si>
  <si>
    <t>2020110107</t>
  </si>
  <si>
    <t>PRIMA DE VACACIONES</t>
  </si>
  <si>
    <t>VACACIONES COMPENSADAS</t>
  </si>
  <si>
    <t>PRIMA DE NAVIDAD</t>
  </si>
  <si>
    <t>20201102</t>
  </si>
  <si>
    <t>SERVICIOS PERSONAlES INDIRECTOS</t>
  </si>
  <si>
    <t>2020110201</t>
  </si>
  <si>
    <t>HONOR. SERV. PROFESIONALES</t>
  </si>
  <si>
    <t>2020110202</t>
  </si>
  <si>
    <t>SERVICIOS TECNICOS</t>
  </si>
  <si>
    <t>2020110203</t>
  </si>
  <si>
    <t>SUPERNUMERARIOS</t>
  </si>
  <si>
    <t>20201201</t>
  </si>
  <si>
    <t>GASTOS GENERALES, ADQUISICIÓN DE BIENES</t>
  </si>
  <si>
    <t>2020120101</t>
  </si>
  <si>
    <t>COMPRA DE EQUIPO</t>
  </si>
  <si>
    <t>2020120102</t>
  </si>
  <si>
    <t>MATERIALES Y SUMUNISTROS</t>
  </si>
  <si>
    <t>2020120104</t>
  </si>
  <si>
    <t>UNIFORMES Y DOTACION</t>
  </si>
  <si>
    <t>2020120105</t>
  </si>
  <si>
    <t>COMPRA SEDE</t>
  </si>
  <si>
    <t>20201202</t>
  </si>
  <si>
    <t>GASTOS GENERALES ADQUISICIÓN DE SERVICIOS</t>
  </si>
  <si>
    <t>2020120201</t>
  </si>
  <si>
    <t>MANTENIMIENTO Y REPARACIÓN</t>
  </si>
  <si>
    <t>2020120202</t>
  </si>
  <si>
    <t>VIATICOS  Y GASTOS DE VIAJE</t>
  </si>
  <si>
    <t>2020120203</t>
  </si>
  <si>
    <t>IMPRESOS Y PUBLICACIONES</t>
  </si>
  <si>
    <t>2020120204</t>
  </si>
  <si>
    <t>SERVICIOS PUBLICOS ENERGIA</t>
  </si>
  <si>
    <t>2020120205</t>
  </si>
  <si>
    <t>SERVICIOS PUBLICOS TELECOMUNICACIONES</t>
  </si>
  <si>
    <t>2020120206</t>
  </si>
  <si>
    <t>SERVICIOS PUBLICOS ALCANTARILLADO</t>
  </si>
  <si>
    <t>2020120207</t>
  </si>
  <si>
    <t>COMUNICACIONES Y TRANSPORTE</t>
  </si>
  <si>
    <t>2020120208</t>
  </si>
  <si>
    <t>ARRENDAMIENTO Y ALQUILER</t>
  </si>
  <si>
    <t>2020120209</t>
  </si>
  <si>
    <t>SEGUROS</t>
  </si>
  <si>
    <t>2020120210</t>
  </si>
  <si>
    <t>CAPACITACIÓN</t>
  </si>
  <si>
    <t>2020120211</t>
  </si>
  <si>
    <t>CONGRESOS FOROS Y SEMINARIOS</t>
  </si>
  <si>
    <t>2020120212</t>
  </si>
  <si>
    <t>BIENESTAR SOCIAL</t>
  </si>
  <si>
    <t>2020120213</t>
  </si>
  <si>
    <t>FOMENTO DEPORTIVO</t>
  </si>
  <si>
    <t>2020120214</t>
  </si>
  <si>
    <t>GASTOS VINCULACIÓN DE PERSONAL</t>
  </si>
  <si>
    <t>20201103</t>
  </si>
  <si>
    <t>CONTRIBUCIONES INHERENTES A LA NOMINA PRIVADO</t>
  </si>
  <si>
    <t>2020110301</t>
  </si>
  <si>
    <t>CESANTÍAS</t>
  </si>
  <si>
    <t>2020110302</t>
  </si>
  <si>
    <t>APORTES SERVICIOS MEDICOS</t>
  </si>
  <si>
    <t>APORTES PENSIONES</t>
  </si>
  <si>
    <t>INTERESES CESANTIAS</t>
  </si>
  <si>
    <t>20201104</t>
  </si>
  <si>
    <t>CONTRIBUCIONES INHERENTES A LA NOMINA PUBLICO</t>
  </si>
  <si>
    <t>2020110401</t>
  </si>
  <si>
    <t>CESANTIAS</t>
  </si>
  <si>
    <t>2020110402</t>
  </si>
  <si>
    <t>2020110403</t>
  </si>
  <si>
    <t>ACCIDENTES Y RIESGOS LARORALES</t>
  </si>
  <si>
    <t>2020110404</t>
  </si>
  <si>
    <t>2020110405</t>
  </si>
  <si>
    <t>CAJA DE COMP.FAMILIAR 4%</t>
  </si>
  <si>
    <t>2020110406</t>
  </si>
  <si>
    <t>I.C.B.F.</t>
  </si>
  <si>
    <t>2020110407</t>
  </si>
  <si>
    <t>ESAP 0.5%</t>
  </si>
  <si>
    <t>2020110408</t>
  </si>
  <si>
    <t>SENA 0.5%</t>
  </si>
  <si>
    <t>2020110409</t>
  </si>
  <si>
    <t>ESCUELAS IND. E INST.TÉCNICOS</t>
  </si>
  <si>
    <t>2020110410</t>
  </si>
  <si>
    <t>PASIVOS EXIGIBLES VIG. ANTERIORES</t>
  </si>
  <si>
    <t>TOTALES</t>
  </si>
  <si>
    <t>JAIME LONDOÑO FLOREZ</t>
  </si>
  <si>
    <t>Edwin Yesid Borrero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</si>
</sst>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Bookman Old Style"/>
      <family val="1"/>
    </font>
    <font>
      <b/>
      <sz val="11"/>
      <name val="Bookman Old Style"/>
      <family val="1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sz val="11"/>
      <color theme="4"/>
      <name val="Arial"/>
      <family val="2"/>
    </font>
    <font>
      <b/>
      <sz val="12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theme="3"/>
      <name val="Arial"/>
      <family val="2"/>
    </font>
    <font>
      <u/>
      <sz val="11"/>
      <color indexed="10"/>
      <name val="Arial"/>
      <family val="2"/>
    </font>
    <font>
      <b/>
      <sz val="11"/>
      <color rgb="FFFF0000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5" fontId="4" fillId="0" borderId="0" applyFont="0" applyFill="0" applyBorder="0" applyAlignment="0" applyProtection="0"/>
  </cellStyleXfs>
  <cellXfs count="97">
    <xf numFmtId="0" fontId="0" fillId="0" borderId="0" xfId="0"/>
    <xf numFmtId="0" fontId="6" fillId="2" borderId="0" xfId="0" applyFont="1" applyFill="1"/>
    <xf numFmtId="0" fontId="6" fillId="0" borderId="0" xfId="0" applyFont="1" applyFill="1"/>
    <xf numFmtId="0" fontId="5" fillId="2" borderId="0" xfId="0" applyFont="1" applyFill="1"/>
    <xf numFmtId="165" fontId="5" fillId="2" borderId="0" xfId="1" applyNumberFormat="1" applyFont="1" applyFill="1"/>
    <xf numFmtId="0" fontId="0" fillId="2" borderId="0" xfId="0" applyFill="1" applyBorder="1"/>
    <xf numFmtId="0" fontId="7" fillId="2" borderId="0" xfId="0" applyFont="1" applyFill="1"/>
    <xf numFmtId="0" fontId="7" fillId="0" borderId="0" xfId="0" applyFont="1" applyFill="1"/>
    <xf numFmtId="0" fontId="8" fillId="2" borderId="0" xfId="0" applyFont="1" applyFill="1"/>
    <xf numFmtId="165" fontId="8" fillId="2" borderId="0" xfId="1" applyNumberFormat="1" applyFont="1" applyFill="1"/>
    <xf numFmtId="0" fontId="8" fillId="0" borderId="0" xfId="0" applyFont="1" applyFill="1"/>
    <xf numFmtId="0" fontId="9" fillId="2" borderId="3" xfId="0" applyFont="1" applyFill="1" applyBorder="1"/>
    <xf numFmtId="0" fontId="10" fillId="2" borderId="5" xfId="0" applyFont="1" applyFill="1" applyBorder="1"/>
    <xf numFmtId="0" fontId="10" fillId="2" borderId="4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65" fontId="10" fillId="2" borderId="6" xfId="1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9" fillId="2" borderId="14" xfId="0" applyFont="1" applyFill="1" applyBorder="1"/>
    <xf numFmtId="0" fontId="10" fillId="2" borderId="9" xfId="0" applyFont="1" applyFill="1" applyBorder="1" applyAlignment="1">
      <alignment horizontal="right"/>
    </xf>
    <xf numFmtId="0" fontId="10" fillId="2" borderId="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3" borderId="9" xfId="0" applyFont="1" applyFill="1" applyBorder="1"/>
    <xf numFmtId="0" fontId="10" fillId="4" borderId="9" xfId="0" applyFont="1" applyFill="1" applyBorder="1"/>
    <xf numFmtId="0" fontId="10" fillId="2" borderId="9" xfId="0" applyFont="1" applyFill="1" applyBorder="1" applyAlignment="1">
      <alignment horizontal="center"/>
    </xf>
    <xf numFmtId="165" fontId="10" fillId="2" borderId="10" xfId="1" applyNumberFormat="1" applyFont="1" applyFill="1" applyBorder="1" applyAlignment="1">
      <alignment horizontal="center"/>
    </xf>
    <xf numFmtId="0" fontId="0" fillId="2" borderId="7" xfId="0" applyFill="1" applyBorder="1"/>
    <xf numFmtId="0" fontId="3" fillId="0" borderId="13" xfId="0" applyFont="1" applyBorder="1" applyAlignment="1">
      <alignment horizontal="center"/>
    </xf>
    <xf numFmtId="0" fontId="10" fillId="0" borderId="15" xfId="0" applyFont="1" applyBorder="1"/>
    <xf numFmtId="0" fontId="10" fillId="0" borderId="1" xfId="0" applyFont="1" applyBorder="1"/>
    <xf numFmtId="0" fontId="10" fillId="0" borderId="1" xfId="0" applyFont="1" applyFill="1" applyBorder="1"/>
    <xf numFmtId="4" fontId="10" fillId="0" borderId="1" xfId="0" applyNumberFormat="1" applyFont="1" applyBorder="1"/>
    <xf numFmtId="165" fontId="10" fillId="0" borderId="11" xfId="1" applyNumberFormat="1" applyFont="1" applyBorder="1"/>
    <xf numFmtId="0" fontId="10" fillId="0" borderId="11" xfId="0" applyFont="1" applyBorder="1"/>
    <xf numFmtId="0" fontId="0" fillId="0" borderId="14" xfId="0" applyBorder="1"/>
    <xf numFmtId="0" fontId="10" fillId="0" borderId="14" xfId="0" applyFont="1" applyBorder="1" applyAlignment="1"/>
    <xf numFmtId="0" fontId="10" fillId="0" borderId="16" xfId="0" applyFont="1" applyBorder="1"/>
    <xf numFmtId="3" fontId="10" fillId="0" borderId="2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9" fontId="10" fillId="0" borderId="2" xfId="0" applyNumberFormat="1" applyFont="1" applyBorder="1" applyAlignment="1">
      <alignment horizontal="right"/>
    </xf>
    <xf numFmtId="165" fontId="10" fillId="0" borderId="2" xfId="1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9" fontId="10" fillId="0" borderId="13" xfId="0" applyNumberFormat="1" applyFont="1" applyBorder="1" applyAlignment="1">
      <alignment horizontal="center"/>
    </xf>
    <xf numFmtId="0" fontId="8" fillId="0" borderId="13" xfId="0" applyFont="1" applyBorder="1" applyAlignment="1"/>
    <xf numFmtId="0" fontId="4" fillId="0" borderId="16" xfId="0" applyFont="1" applyBorder="1"/>
    <xf numFmtId="3" fontId="4" fillId="0" borderId="17" xfId="3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right"/>
    </xf>
    <xf numFmtId="3" fontId="12" fillId="3" borderId="2" xfId="0" applyNumberFormat="1" applyFont="1" applyFill="1" applyBorder="1" applyAlignment="1">
      <alignment horizontal="right"/>
    </xf>
    <xf numFmtId="3" fontId="12" fillId="4" borderId="2" xfId="0" applyNumberFormat="1" applyFont="1" applyFill="1" applyBorder="1" applyAlignment="1">
      <alignment horizontal="right"/>
    </xf>
    <xf numFmtId="3" fontId="13" fillId="0" borderId="2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165" fontId="8" fillId="0" borderId="2" xfId="1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4" fillId="0" borderId="17" xfId="2" applyNumberFormat="1" applyFont="1" applyBorder="1" applyAlignment="1">
      <alignment horizontal="right" vertical="center"/>
    </xf>
    <xf numFmtId="165" fontId="14" fillId="2" borderId="2" xfId="1" applyNumberFormat="1" applyFont="1" applyFill="1" applyBorder="1"/>
    <xf numFmtId="0" fontId="8" fillId="0" borderId="13" xfId="0" applyFont="1" applyBorder="1" applyAlignment="1">
      <alignment horizontal="left"/>
    </xf>
    <xf numFmtId="165" fontId="14" fillId="2" borderId="18" xfId="1" applyNumberFormat="1" applyFont="1" applyFill="1" applyBorder="1"/>
    <xf numFmtId="0" fontId="3" fillId="0" borderId="16" xfId="0" applyFont="1" applyBorder="1"/>
    <xf numFmtId="164" fontId="3" fillId="0" borderId="2" xfId="0" applyNumberFormat="1" applyFont="1" applyBorder="1"/>
    <xf numFmtId="3" fontId="15" fillId="3" borderId="2" xfId="0" applyNumberFormat="1" applyFont="1" applyFill="1" applyBorder="1" applyAlignment="1">
      <alignment horizontal="right"/>
    </xf>
    <xf numFmtId="3" fontId="16" fillId="4" borderId="2" xfId="0" applyNumberFormat="1" applyFont="1" applyFill="1" applyBorder="1" applyAlignment="1">
      <alignment horizontal="right"/>
    </xf>
    <xf numFmtId="3" fontId="17" fillId="0" borderId="2" xfId="0" applyNumberFormat="1" applyFont="1" applyBorder="1" applyAlignment="1">
      <alignment horizontal="right"/>
    </xf>
    <xf numFmtId="3" fontId="10" fillId="0" borderId="2" xfId="0" applyNumberFormat="1" applyFont="1" applyFill="1" applyBorder="1" applyAlignment="1">
      <alignment horizontal="right"/>
    </xf>
    <xf numFmtId="3" fontId="9" fillId="0" borderId="12" xfId="0" applyNumberFormat="1" applyFont="1" applyBorder="1" applyAlignment="1">
      <alignment horizontal="right"/>
    </xf>
    <xf numFmtId="0" fontId="4" fillId="2" borderId="16" xfId="0" applyFont="1" applyFill="1" applyBorder="1"/>
    <xf numFmtId="0" fontId="4" fillId="0" borderId="16" xfId="0" applyFont="1" applyBorder="1" applyAlignment="1">
      <alignment horizontal="left"/>
    </xf>
    <xf numFmtId="165" fontId="18" fillId="0" borderId="2" xfId="1" applyNumberFormat="1" applyFont="1" applyFill="1" applyBorder="1"/>
    <xf numFmtId="0" fontId="3" fillId="0" borderId="16" xfId="0" applyFont="1" applyBorder="1" applyAlignment="1">
      <alignment horizontal="left"/>
    </xf>
    <xf numFmtId="164" fontId="3" fillId="0" borderId="2" xfId="0" applyNumberFormat="1" applyFont="1" applyBorder="1" applyAlignment="1">
      <alignment horizontal="right"/>
    </xf>
    <xf numFmtId="0" fontId="4" fillId="2" borderId="16" xfId="0" applyFont="1" applyFill="1" applyBorder="1" applyAlignment="1">
      <alignment horizontal="left"/>
    </xf>
    <xf numFmtId="165" fontId="19" fillId="0" borderId="2" xfId="1" applyNumberFormat="1" applyFont="1" applyFill="1" applyBorder="1"/>
    <xf numFmtId="9" fontId="10" fillId="2" borderId="13" xfId="0" applyNumberFormat="1" applyFont="1" applyFill="1" applyBorder="1" applyAlignment="1">
      <alignment horizontal="center"/>
    </xf>
    <xf numFmtId="3" fontId="20" fillId="0" borderId="2" xfId="0" applyNumberFormat="1" applyFont="1" applyBorder="1" applyAlignment="1">
      <alignment horizontal="right"/>
    </xf>
    <xf numFmtId="3" fontId="10" fillId="3" borderId="2" xfId="0" applyNumberFormat="1" applyFont="1" applyFill="1" applyBorder="1" applyAlignment="1">
      <alignment horizontal="right"/>
    </xf>
    <xf numFmtId="3" fontId="9" fillId="0" borderId="2" xfId="0" applyNumberFormat="1" applyFont="1" applyFill="1" applyBorder="1" applyAlignment="1">
      <alignment horizontal="right"/>
    </xf>
    <xf numFmtId="3" fontId="8" fillId="4" borderId="2" xfId="0" applyNumberFormat="1" applyFont="1" applyFill="1" applyBorder="1" applyAlignment="1">
      <alignment horizontal="right"/>
    </xf>
    <xf numFmtId="3" fontId="21" fillId="0" borderId="2" xfId="0" applyNumberFormat="1" applyFont="1" applyBorder="1" applyAlignment="1">
      <alignment horizontal="right"/>
    </xf>
    <xf numFmtId="3" fontId="8" fillId="3" borderId="2" xfId="0" applyNumberFormat="1" applyFont="1" applyFill="1" applyBorder="1" applyAlignment="1">
      <alignment horizontal="right"/>
    </xf>
    <xf numFmtId="3" fontId="10" fillId="4" borderId="2" xfId="0" applyNumberFormat="1" applyFont="1" applyFill="1" applyBorder="1" applyAlignment="1">
      <alignment horizontal="right"/>
    </xf>
    <xf numFmtId="165" fontId="14" fillId="5" borderId="2" xfId="1" applyNumberFormat="1" applyFont="1" applyFill="1" applyBorder="1"/>
    <xf numFmtId="0" fontId="10" fillId="0" borderId="2" xfId="0" applyFont="1" applyFill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8" fillId="0" borderId="2" xfId="0" applyFont="1" applyFill="1" applyBorder="1" applyAlignment="1">
      <alignment horizontal="right"/>
    </xf>
    <xf numFmtId="37" fontId="8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39" fontId="10" fillId="0" borderId="2" xfId="0" applyNumberFormat="1" applyFont="1" applyBorder="1" applyAlignment="1">
      <alignment horizontal="right"/>
    </xf>
    <xf numFmtId="9" fontId="8" fillId="0" borderId="2" xfId="0" applyNumberFormat="1" applyFont="1" applyBorder="1" applyAlignment="1">
      <alignment horizontal="right"/>
    </xf>
    <xf numFmtId="165" fontId="8" fillId="0" borderId="12" xfId="1" applyNumberFormat="1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0" fillId="0" borderId="7" xfId="0" applyBorder="1"/>
    <xf numFmtId="3" fontId="0" fillId="0" borderId="0" xfId="0" applyNumberFormat="1"/>
    <xf numFmtId="165" fontId="0" fillId="0" borderId="0" xfId="1" applyNumberFormat="1" applyFont="1"/>
    <xf numFmtId="3" fontId="22" fillId="0" borderId="0" xfId="0" applyNumberFormat="1" applyFont="1"/>
    <xf numFmtId="0" fontId="8" fillId="0" borderId="19" xfId="0" applyFont="1" applyBorder="1" applyAlignment="1">
      <alignment horizontal="center"/>
    </xf>
    <xf numFmtId="0" fontId="8" fillId="0" borderId="2" xfId="0" applyFont="1" applyFill="1" applyBorder="1" applyAlignment="1">
      <alignment horizontal="left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1171575</xdr:colOff>
      <xdr:row>0</xdr:row>
      <xdr:rowOff>28575</xdr:rowOff>
    </xdr:from>
    <xdr:to>
      <xdr:col>3</xdr:col>
      <xdr:colOff>457200</xdr:colOff>
      <xdr:row>3</xdr:row>
      <xdr:rowOff>104775</xdr:rowOff>
    </xdr:to>
    <xdr:pic>
      <xdr:nvPicPr>
        <xdr:cNvPr id="2" name="0 Imagen" descr="LOGOTIPO colo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95975" y="28575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tabSelected="1" topLeftCell="A55" workbookViewId="0">
      <selection activeCell="B75" sqref="B75"/>
    </sheetView>
  </sheetViews>
  <sheetFormatPr baseColWidth="10" defaultRowHeight="15" x14ac:dyDescent="0.25"/>
  <cols>
    <col min="1" max="1" width="19" customWidth="1"/>
    <col min="2" max="2" width="51.85546875" customWidth="1"/>
    <col min="3" max="3" width="22.28515625" bestFit="1" customWidth="1"/>
    <col min="4" max="4" width="14.140625" bestFit="1" customWidth="1"/>
    <col min="5" max="6" width="12.42578125" bestFit="1" customWidth="1"/>
    <col min="7" max="7" width="12.7109375" bestFit="1" customWidth="1"/>
    <col min="8" max="8" width="15.7109375" bestFit="1" customWidth="1"/>
    <col min="9" max="9" width="18.28515625" bestFit="1" customWidth="1"/>
    <col min="10" max="10" width="13.5703125" bestFit="1" customWidth="1"/>
    <col min="11" max="11" width="14.140625" bestFit="1" customWidth="1"/>
    <col min="13" max="13" width="15.28515625" bestFit="1" customWidth="1"/>
    <col min="14" max="14" width="14.140625" bestFit="1" customWidth="1"/>
  </cols>
  <sheetData>
    <row r="1" spans="1:15" ht="18" x14ac:dyDescent="0.25">
      <c r="A1" s="1" t="s">
        <v>0</v>
      </c>
      <c r="B1" s="1"/>
      <c r="C1" s="1"/>
      <c r="D1" s="1"/>
      <c r="E1" s="2"/>
      <c r="F1" s="2"/>
      <c r="G1" s="3"/>
      <c r="H1" s="3"/>
      <c r="I1" s="3"/>
      <c r="J1" s="3"/>
      <c r="K1" s="3"/>
      <c r="L1" s="3"/>
      <c r="M1" s="4"/>
      <c r="N1" s="3"/>
      <c r="O1" s="5"/>
    </row>
    <row r="2" spans="1:15" ht="18" x14ac:dyDescent="0.25">
      <c r="A2" s="1" t="s">
        <v>13</v>
      </c>
      <c r="B2" s="1"/>
      <c r="C2" s="1"/>
      <c r="D2" s="1"/>
      <c r="E2" s="2"/>
      <c r="F2" s="2"/>
      <c r="G2" s="3"/>
      <c r="H2" s="3"/>
      <c r="I2" s="3"/>
      <c r="J2" s="3"/>
      <c r="K2" s="3"/>
      <c r="L2" s="3"/>
      <c r="M2" s="4"/>
      <c r="N2" s="3"/>
      <c r="O2" s="5"/>
    </row>
    <row r="3" spans="1:15" ht="18" x14ac:dyDescent="0.25">
      <c r="A3" s="1" t="s">
        <v>14</v>
      </c>
      <c r="B3" s="6"/>
      <c r="C3" s="6"/>
      <c r="D3" s="6"/>
      <c r="E3" s="7"/>
      <c r="F3" s="7"/>
      <c r="G3" s="8"/>
      <c r="H3" s="8"/>
      <c r="I3" s="8"/>
      <c r="J3" s="8"/>
      <c r="K3" s="8"/>
      <c r="L3" s="8"/>
      <c r="M3" s="9"/>
      <c r="N3" s="8"/>
      <c r="O3" s="5"/>
    </row>
    <row r="4" spans="1:15" ht="18.75" thickBot="1" x14ac:dyDescent="0.3">
      <c r="A4" s="3"/>
      <c r="B4" s="8"/>
      <c r="C4" s="8"/>
      <c r="D4" s="8"/>
      <c r="E4" s="10"/>
      <c r="F4" s="10"/>
      <c r="G4" s="8"/>
      <c r="H4" s="8"/>
      <c r="I4" s="8"/>
      <c r="J4" s="8"/>
      <c r="K4" s="8"/>
      <c r="L4" s="8"/>
      <c r="M4" s="9"/>
      <c r="N4" s="8"/>
      <c r="O4" s="5"/>
    </row>
    <row r="5" spans="1:15" ht="15.75" x14ac:dyDescent="0.25">
      <c r="A5" s="11" t="s">
        <v>1</v>
      </c>
      <c r="B5" s="12" t="s">
        <v>2</v>
      </c>
      <c r="C5" s="13" t="s">
        <v>3</v>
      </c>
      <c r="D5" s="14" t="s">
        <v>15</v>
      </c>
      <c r="E5" s="15" t="s">
        <v>4</v>
      </c>
      <c r="F5" s="16" t="s">
        <v>5</v>
      </c>
      <c r="G5" s="13" t="s">
        <v>16</v>
      </c>
      <c r="H5" s="14" t="s">
        <v>6</v>
      </c>
      <c r="I5" s="17" t="s">
        <v>17</v>
      </c>
      <c r="J5" s="13" t="s">
        <v>18</v>
      </c>
      <c r="K5" s="14" t="s">
        <v>7</v>
      </c>
      <c r="L5" s="17" t="s">
        <v>8</v>
      </c>
      <c r="M5" s="18" t="s">
        <v>6</v>
      </c>
      <c r="N5" s="13" t="s">
        <v>9</v>
      </c>
      <c r="O5" s="19" t="s">
        <v>8</v>
      </c>
    </row>
    <row r="6" spans="1:15" ht="16.5" thickBot="1" x14ac:dyDescent="0.3">
      <c r="A6" s="20"/>
      <c r="B6" s="21"/>
      <c r="C6" s="22" t="s">
        <v>10</v>
      </c>
      <c r="D6" s="23"/>
      <c r="E6" s="24"/>
      <c r="F6" s="25"/>
      <c r="G6" s="22" t="s">
        <v>5</v>
      </c>
      <c r="H6" s="23" t="s">
        <v>3</v>
      </c>
      <c r="I6" s="26" t="s">
        <v>11</v>
      </c>
      <c r="J6" s="22" t="s">
        <v>12</v>
      </c>
      <c r="K6" s="23" t="s">
        <v>19</v>
      </c>
      <c r="L6" s="26"/>
      <c r="M6" s="27" t="s">
        <v>19</v>
      </c>
      <c r="N6" s="22" t="s">
        <v>20</v>
      </c>
      <c r="O6" s="28"/>
    </row>
    <row r="7" spans="1:15" x14ac:dyDescent="0.25">
      <c r="A7" s="29"/>
      <c r="B7" s="30"/>
      <c r="C7" s="31"/>
      <c r="D7" s="31"/>
      <c r="E7" s="32"/>
      <c r="F7" s="32"/>
      <c r="G7" s="31"/>
      <c r="H7" s="31"/>
      <c r="I7" s="33"/>
      <c r="J7" s="31"/>
      <c r="K7" s="31"/>
      <c r="L7" s="31"/>
      <c r="M7" s="34"/>
      <c r="N7" s="35"/>
      <c r="O7" s="36"/>
    </row>
    <row r="8" spans="1:15" ht="15.75" x14ac:dyDescent="0.25">
      <c r="A8" s="37" t="s">
        <v>21</v>
      </c>
      <c r="B8" s="38" t="s">
        <v>22</v>
      </c>
      <c r="C8" s="39">
        <f>C9+C11+C12+C13+C14+C15+C16+C17+C18</f>
        <v>530075640</v>
      </c>
      <c r="D8" s="39">
        <f>D9</f>
        <v>133200000</v>
      </c>
      <c r="E8" s="39">
        <f t="shared" ref="E8:J8" si="0">E9+E10+E11+E12+E13+E14+E15+E16+E17+E18</f>
        <v>81624365</v>
      </c>
      <c r="F8" s="39">
        <f t="shared" si="0"/>
        <v>111532607</v>
      </c>
      <c r="G8" s="40">
        <f t="shared" si="0"/>
        <v>98541394</v>
      </c>
      <c r="H8" s="39">
        <f t="shared" si="0"/>
        <v>491491218</v>
      </c>
      <c r="I8" s="39">
        <f t="shared" si="0"/>
        <v>406362246</v>
      </c>
      <c r="J8" s="39">
        <f t="shared" si="0"/>
        <v>85128972</v>
      </c>
      <c r="K8" s="39">
        <f>K9+K11+K12+K13+K14+K15+K16+K17+K18</f>
        <v>407171416</v>
      </c>
      <c r="L8" s="41">
        <f t="shared" ref="L8:L63" si="1">K8/H8</f>
        <v>0.82844087765572239</v>
      </c>
      <c r="M8" s="42">
        <f>M9+M10+M11+M12+M13+M14+M15+M16+M17+M18</f>
        <v>491491218</v>
      </c>
      <c r="N8" s="43">
        <f>SUM(N9:N18)</f>
        <v>0</v>
      </c>
      <c r="O8" s="44">
        <f t="shared" ref="O8:O37" si="2">N8/H8</f>
        <v>0</v>
      </c>
    </row>
    <row r="9" spans="1:15" x14ac:dyDescent="0.25">
      <c r="A9" s="45" t="s">
        <v>23</v>
      </c>
      <c r="B9" s="46" t="s">
        <v>24</v>
      </c>
      <c r="C9" s="47">
        <f>390500000+11029864</f>
        <v>401529864</v>
      </c>
      <c r="D9" s="48">
        <v>133200000</v>
      </c>
      <c r="E9" s="49">
        <v>35304563</v>
      </c>
      <c r="F9" s="50">
        <v>49512778</v>
      </c>
      <c r="G9" s="51">
        <f>33656253+13000000+42860038</f>
        <v>89516291</v>
      </c>
      <c r="H9" s="52">
        <f t="shared" ref="H9:H62" si="3">C9-D9+E9+F9-G9</f>
        <v>263630914</v>
      </c>
      <c r="I9" s="48">
        <f>18886115+28413095+28413095+27660595+27660595+21291276+19485317+29234474+30713930+1158493</f>
        <v>232916985</v>
      </c>
      <c r="J9" s="48">
        <v>30713929</v>
      </c>
      <c r="K9" s="52">
        <f>SUM(I9:J9)</f>
        <v>263630914</v>
      </c>
      <c r="L9" s="41">
        <f t="shared" si="1"/>
        <v>1</v>
      </c>
      <c r="M9" s="53">
        <f t="shared" ref="M9:M62" si="4">J9+I9</f>
        <v>263630914</v>
      </c>
      <c r="N9" s="54">
        <f t="shared" ref="N9:N18" si="5">H9-K9</f>
        <v>0</v>
      </c>
      <c r="O9" s="44">
        <f t="shared" si="2"/>
        <v>0</v>
      </c>
    </row>
    <row r="10" spans="1:15" x14ac:dyDescent="0.25">
      <c r="A10" s="45">
        <v>45</v>
      </c>
      <c r="B10" s="46" t="s">
        <v>24</v>
      </c>
      <c r="C10" s="47"/>
      <c r="D10" s="48"/>
      <c r="E10" s="49">
        <f>16764365+29555437</f>
        <v>46319802</v>
      </c>
      <c r="F10" s="50">
        <v>38000000</v>
      </c>
      <c r="G10" s="51"/>
      <c r="H10" s="52">
        <f t="shared" si="3"/>
        <v>84319802</v>
      </c>
      <c r="I10" s="48">
        <f>16764365+28785712+9214288+29555437</f>
        <v>84319802</v>
      </c>
      <c r="J10" s="48"/>
      <c r="K10" s="52"/>
      <c r="L10" s="41">
        <f t="shared" si="1"/>
        <v>0</v>
      </c>
      <c r="M10" s="53">
        <f t="shared" si="4"/>
        <v>84319802</v>
      </c>
      <c r="N10" s="54">
        <f>H10-M10</f>
        <v>0</v>
      </c>
      <c r="O10" s="44">
        <f t="shared" si="2"/>
        <v>0</v>
      </c>
    </row>
    <row r="11" spans="1:15" x14ac:dyDescent="0.25">
      <c r="A11" s="45" t="s">
        <v>25</v>
      </c>
      <c r="B11" s="46" t="s">
        <v>26</v>
      </c>
      <c r="C11" s="47">
        <v>24045776</v>
      </c>
      <c r="D11" s="48"/>
      <c r="E11" s="49"/>
      <c r="F11" s="50"/>
      <c r="G11" s="51">
        <f>1496313+4033275</f>
        <v>5529588</v>
      </c>
      <c r="H11" s="52">
        <f t="shared" si="3"/>
        <v>18516188</v>
      </c>
      <c r="I11" s="48">
        <f>768108+1920270+1920270+1920270+1920270+2014325+2014325+2014325+2014325+2009700</f>
        <v>18516188</v>
      </c>
      <c r="J11" s="48"/>
      <c r="K11" s="52">
        <f t="shared" ref="K11:K23" si="6">SUM(I11:J11)</f>
        <v>18516188</v>
      </c>
      <c r="L11" s="41">
        <f t="shared" si="1"/>
        <v>1</v>
      </c>
      <c r="M11" s="53">
        <f t="shared" si="4"/>
        <v>18516188</v>
      </c>
      <c r="N11" s="54">
        <f t="shared" si="5"/>
        <v>0</v>
      </c>
      <c r="O11" s="44">
        <f t="shared" si="2"/>
        <v>0</v>
      </c>
    </row>
    <row r="12" spans="1:15" x14ac:dyDescent="0.25">
      <c r="A12" s="45" t="s">
        <v>27</v>
      </c>
      <c r="B12" s="46" t="s">
        <v>28</v>
      </c>
      <c r="C12" s="55">
        <v>1100000</v>
      </c>
      <c r="D12" s="48"/>
      <c r="E12" s="49"/>
      <c r="F12" s="50">
        <v>576000</v>
      </c>
      <c r="G12" s="51">
        <v>96000</v>
      </c>
      <c r="H12" s="52">
        <f t="shared" si="3"/>
        <v>1580000</v>
      </c>
      <c r="I12" s="48">
        <f>72000+144000+144000+43200+72000+72000+504000+48800+48000+144000+144000</f>
        <v>1436000</v>
      </c>
      <c r="J12" s="48">
        <v>144000</v>
      </c>
      <c r="K12" s="52">
        <f t="shared" si="6"/>
        <v>1580000</v>
      </c>
      <c r="L12" s="41">
        <f t="shared" si="1"/>
        <v>1</v>
      </c>
      <c r="M12" s="53">
        <f t="shared" si="4"/>
        <v>1580000</v>
      </c>
      <c r="N12" s="54">
        <f t="shared" si="5"/>
        <v>0</v>
      </c>
      <c r="O12" s="44">
        <f t="shared" si="2"/>
        <v>0</v>
      </c>
    </row>
    <row r="13" spans="1:15" x14ac:dyDescent="0.25">
      <c r="A13" s="45" t="s">
        <v>29</v>
      </c>
      <c r="B13" s="46" t="s">
        <v>30</v>
      </c>
      <c r="C13" s="55">
        <v>900000</v>
      </c>
      <c r="D13" s="48"/>
      <c r="E13" s="49"/>
      <c r="F13" s="50">
        <v>274220</v>
      </c>
      <c r="G13" s="51"/>
      <c r="H13" s="52">
        <f t="shared" si="3"/>
        <v>1174220</v>
      </c>
      <c r="I13" s="48">
        <f>52017+95102+95102+28530+47551+47551+332857+95102+95102+95102+95102</f>
        <v>1079118</v>
      </c>
      <c r="J13" s="48">
        <v>95102</v>
      </c>
      <c r="K13" s="52">
        <f t="shared" si="6"/>
        <v>1174220</v>
      </c>
      <c r="L13" s="41">
        <f t="shared" si="1"/>
        <v>1</v>
      </c>
      <c r="M13" s="53">
        <f t="shared" si="4"/>
        <v>1174220</v>
      </c>
      <c r="N13" s="54">
        <f t="shared" si="5"/>
        <v>0</v>
      </c>
      <c r="O13" s="44">
        <f t="shared" si="2"/>
        <v>0</v>
      </c>
    </row>
    <row r="14" spans="1:15" x14ac:dyDescent="0.25">
      <c r="A14" s="45" t="s">
        <v>31</v>
      </c>
      <c r="B14" s="46" t="s">
        <v>32</v>
      </c>
      <c r="C14" s="47">
        <v>0</v>
      </c>
      <c r="D14" s="48"/>
      <c r="E14" s="49"/>
      <c r="F14" s="50">
        <v>9799496</v>
      </c>
      <c r="G14" s="51"/>
      <c r="H14" s="52">
        <f t="shared" si="3"/>
        <v>9799496</v>
      </c>
      <c r="I14" s="48"/>
      <c r="J14" s="56">
        <v>9799496</v>
      </c>
      <c r="K14" s="52">
        <f t="shared" si="6"/>
        <v>9799496</v>
      </c>
      <c r="L14" s="41">
        <f t="shared" si="1"/>
        <v>1</v>
      </c>
      <c r="M14" s="53">
        <f t="shared" si="4"/>
        <v>9799496</v>
      </c>
      <c r="N14" s="54">
        <f t="shared" si="5"/>
        <v>0</v>
      </c>
      <c r="O14" s="44">
        <f t="shared" si="2"/>
        <v>0</v>
      </c>
    </row>
    <row r="15" spans="1:15" x14ac:dyDescent="0.25">
      <c r="A15" s="45" t="s">
        <v>33</v>
      </c>
      <c r="B15" s="46" t="s">
        <v>34</v>
      </c>
      <c r="C15" s="47">
        <v>18000000</v>
      </c>
      <c r="D15" s="48"/>
      <c r="E15" s="49"/>
      <c r="F15" s="50">
        <v>802040</v>
      </c>
      <c r="G15" s="51">
        <v>2399515</v>
      </c>
      <c r="H15" s="52">
        <f t="shared" si="3"/>
        <v>16402525</v>
      </c>
      <c r="I15" s="48">
        <f>1796135+13804350+802040</f>
        <v>16402525</v>
      </c>
      <c r="J15" s="56"/>
      <c r="K15" s="52">
        <f t="shared" si="6"/>
        <v>16402525</v>
      </c>
      <c r="L15" s="41">
        <f t="shared" si="1"/>
        <v>1</v>
      </c>
      <c r="M15" s="53">
        <f t="shared" si="4"/>
        <v>16402525</v>
      </c>
      <c r="N15" s="54">
        <f t="shared" si="5"/>
        <v>0</v>
      </c>
      <c r="O15" s="44">
        <f t="shared" si="2"/>
        <v>0</v>
      </c>
    </row>
    <row r="16" spans="1:15" x14ac:dyDescent="0.25">
      <c r="A16" s="45" t="s">
        <v>35</v>
      </c>
      <c r="B16" s="46" t="s">
        <v>36</v>
      </c>
      <c r="C16" s="47">
        <v>24500000</v>
      </c>
      <c r="D16" s="48"/>
      <c r="E16" s="49"/>
      <c r="F16" s="50">
        <v>2142622</v>
      </c>
      <c r="G16" s="51">
        <v>1000000</v>
      </c>
      <c r="H16" s="52">
        <f t="shared" si="3"/>
        <v>25642622</v>
      </c>
      <c r="I16" s="48">
        <f>7288335+436026+3021498+214750+1483363+1965414+6548410</f>
        <v>20957796</v>
      </c>
      <c r="J16" s="56">
        <v>4684826</v>
      </c>
      <c r="K16" s="52">
        <f t="shared" si="6"/>
        <v>25642622</v>
      </c>
      <c r="L16" s="41">
        <f t="shared" si="1"/>
        <v>1</v>
      </c>
      <c r="M16" s="53">
        <f t="shared" si="4"/>
        <v>25642622</v>
      </c>
      <c r="N16" s="54">
        <f t="shared" si="5"/>
        <v>0</v>
      </c>
      <c r="O16" s="44">
        <f t="shared" si="2"/>
        <v>0</v>
      </c>
    </row>
    <row r="17" spans="1:15" x14ac:dyDescent="0.25">
      <c r="A17" s="57">
        <v>2020110108</v>
      </c>
      <c r="B17" s="46" t="s">
        <v>37</v>
      </c>
      <c r="C17" s="47">
        <v>28000000</v>
      </c>
      <c r="D17" s="48"/>
      <c r="E17" s="49"/>
      <c r="F17" s="50">
        <v>7534043</v>
      </c>
      <c r="G17" s="51"/>
      <c r="H17" s="52">
        <f t="shared" si="3"/>
        <v>35534043</v>
      </c>
      <c r="I17" s="48">
        <f>12285931+697641+4834397+386550+2761034+2831401+3929046</f>
        <v>27726000</v>
      </c>
      <c r="J17" s="56">
        <v>7808043</v>
      </c>
      <c r="K17" s="52">
        <f>SUM(I17:J17)</f>
        <v>35534043</v>
      </c>
      <c r="L17" s="41">
        <f t="shared" si="1"/>
        <v>1</v>
      </c>
      <c r="M17" s="53">
        <f t="shared" si="4"/>
        <v>35534043</v>
      </c>
      <c r="N17" s="54">
        <f t="shared" si="5"/>
        <v>0</v>
      </c>
      <c r="O17" s="44">
        <f t="shared" si="2"/>
        <v>0</v>
      </c>
    </row>
    <row r="18" spans="1:15" x14ac:dyDescent="0.25">
      <c r="A18" s="57">
        <v>2020110109</v>
      </c>
      <c r="B18" s="46" t="s">
        <v>38</v>
      </c>
      <c r="C18" s="47">
        <v>32000000</v>
      </c>
      <c r="D18" s="48"/>
      <c r="E18" s="49"/>
      <c r="F18" s="50">
        <v>2891408</v>
      </c>
      <c r="G18" s="51"/>
      <c r="H18" s="52">
        <f t="shared" si="3"/>
        <v>34891408</v>
      </c>
      <c r="I18" s="48">
        <f>145342+2862490</f>
        <v>3007832</v>
      </c>
      <c r="J18" s="58">
        <v>31883576</v>
      </c>
      <c r="K18" s="52">
        <f t="shared" si="6"/>
        <v>34891408</v>
      </c>
      <c r="L18" s="41">
        <f t="shared" si="1"/>
        <v>1</v>
      </c>
      <c r="M18" s="53">
        <f t="shared" si="4"/>
        <v>34891408</v>
      </c>
      <c r="N18" s="54">
        <f t="shared" si="5"/>
        <v>0</v>
      </c>
      <c r="O18" s="44">
        <f t="shared" si="2"/>
        <v>0</v>
      </c>
    </row>
    <row r="19" spans="1:15" ht="15.75" x14ac:dyDescent="0.25">
      <c r="A19" s="37" t="s">
        <v>39</v>
      </c>
      <c r="B19" s="59" t="s">
        <v>40</v>
      </c>
      <c r="C19" s="60">
        <f>C20+C22+C23</f>
        <v>56536497</v>
      </c>
      <c r="D19" s="48"/>
      <c r="E19" s="61">
        <f>E20+E21+E22+E23</f>
        <v>11000000</v>
      </c>
      <c r="F19" s="62">
        <f>F20+F22+F23</f>
        <v>46656253</v>
      </c>
      <c r="G19" s="63">
        <f>G20+G21+G22+G23</f>
        <v>0</v>
      </c>
      <c r="H19" s="39">
        <f>H20+H21+H22+H23</f>
        <v>114192750</v>
      </c>
      <c r="I19" s="64">
        <f>I20+I21+I22+I23</f>
        <v>97192750</v>
      </c>
      <c r="J19" s="64">
        <f>J20+J21+J22+J23</f>
        <v>17000000</v>
      </c>
      <c r="K19" s="39">
        <f>K20+K22+K23</f>
        <v>103192750</v>
      </c>
      <c r="L19" s="41">
        <f t="shared" si="1"/>
        <v>0.90367164290202306</v>
      </c>
      <c r="M19" s="42">
        <f>M20+M21+M22+M23</f>
        <v>114192750</v>
      </c>
      <c r="N19" s="65">
        <f>SUM(N20:N23)</f>
        <v>0</v>
      </c>
      <c r="O19" s="44">
        <f t="shared" si="2"/>
        <v>0</v>
      </c>
    </row>
    <row r="20" spans="1:15" x14ac:dyDescent="0.25">
      <c r="A20" s="45" t="s">
        <v>41</v>
      </c>
      <c r="B20" s="66" t="s">
        <v>42</v>
      </c>
      <c r="C20" s="47">
        <v>56536497</v>
      </c>
      <c r="D20" s="48"/>
      <c r="E20" s="49"/>
      <c r="F20" s="50">
        <v>33656253</v>
      </c>
      <c r="G20" s="51"/>
      <c r="H20" s="52">
        <f t="shared" si="3"/>
        <v>90192750</v>
      </c>
      <c r="I20" s="48">
        <f>90192750</f>
        <v>90192750</v>
      </c>
      <c r="J20" s="48"/>
      <c r="K20" s="52">
        <f t="shared" si="6"/>
        <v>90192750</v>
      </c>
      <c r="L20" s="41">
        <f t="shared" si="1"/>
        <v>1</v>
      </c>
      <c r="M20" s="53">
        <f t="shared" si="4"/>
        <v>90192750</v>
      </c>
      <c r="N20" s="54">
        <f>H20-K20</f>
        <v>0</v>
      </c>
      <c r="O20" s="44">
        <f t="shared" si="2"/>
        <v>0</v>
      </c>
    </row>
    <row r="21" spans="1:15" x14ac:dyDescent="0.25">
      <c r="A21" s="45">
        <v>45</v>
      </c>
      <c r="B21" s="66" t="s">
        <v>42</v>
      </c>
      <c r="C21" s="47"/>
      <c r="D21" s="48"/>
      <c r="E21" s="49">
        <f>8000000+3000000</f>
        <v>11000000</v>
      </c>
      <c r="F21" s="50"/>
      <c r="G21" s="51"/>
      <c r="H21" s="52">
        <f t="shared" si="3"/>
        <v>11000000</v>
      </c>
      <c r="I21" s="48">
        <f>150000+150000+6700000</f>
        <v>7000000</v>
      </c>
      <c r="J21" s="48">
        <v>4000000</v>
      </c>
      <c r="K21" s="52"/>
      <c r="L21" s="41">
        <f t="shared" si="1"/>
        <v>0</v>
      </c>
      <c r="M21" s="53">
        <f t="shared" si="4"/>
        <v>11000000</v>
      </c>
      <c r="N21" s="54">
        <f>H21-J21-I21</f>
        <v>0</v>
      </c>
      <c r="O21" s="44">
        <f t="shared" si="2"/>
        <v>0</v>
      </c>
    </row>
    <row r="22" spans="1:15" x14ac:dyDescent="0.25">
      <c r="A22" s="45" t="s">
        <v>43</v>
      </c>
      <c r="B22" s="46" t="s">
        <v>44</v>
      </c>
      <c r="C22" s="55">
        <v>0</v>
      </c>
      <c r="D22" s="48"/>
      <c r="E22" s="49"/>
      <c r="F22" s="50">
        <v>13000000</v>
      </c>
      <c r="G22" s="51"/>
      <c r="H22" s="52">
        <f t="shared" si="3"/>
        <v>13000000</v>
      </c>
      <c r="I22" s="48"/>
      <c r="J22" s="48">
        <v>13000000</v>
      </c>
      <c r="K22" s="52">
        <f t="shared" si="6"/>
        <v>13000000</v>
      </c>
      <c r="L22" s="41">
        <f t="shared" si="1"/>
        <v>1</v>
      </c>
      <c r="M22" s="53">
        <f t="shared" si="4"/>
        <v>13000000</v>
      </c>
      <c r="N22" s="54">
        <f>H22-K22</f>
        <v>0</v>
      </c>
      <c r="O22" s="44">
        <f t="shared" si="2"/>
        <v>0</v>
      </c>
    </row>
    <row r="23" spans="1:15" x14ac:dyDescent="0.25">
      <c r="A23" s="45" t="s">
        <v>45</v>
      </c>
      <c r="B23" s="67" t="s">
        <v>46</v>
      </c>
      <c r="C23" s="47">
        <v>0</v>
      </c>
      <c r="D23" s="48"/>
      <c r="E23" s="49"/>
      <c r="F23" s="68"/>
      <c r="G23" s="51"/>
      <c r="H23" s="52">
        <f t="shared" si="3"/>
        <v>0</v>
      </c>
      <c r="I23" s="48"/>
      <c r="J23" s="56"/>
      <c r="K23" s="52">
        <f t="shared" si="6"/>
        <v>0</v>
      </c>
      <c r="L23" s="41" t="e">
        <f t="shared" si="1"/>
        <v>#DIV/0!</v>
      </c>
      <c r="M23" s="53">
        <f t="shared" si="4"/>
        <v>0</v>
      </c>
      <c r="N23" s="54">
        <f>H23-K23</f>
        <v>0</v>
      </c>
      <c r="O23" s="44" t="e">
        <f t="shared" si="2"/>
        <v>#DIV/0!</v>
      </c>
    </row>
    <row r="24" spans="1:15" ht="15.75" x14ac:dyDescent="0.25">
      <c r="A24" s="37" t="s">
        <v>47</v>
      </c>
      <c r="B24" s="69" t="s">
        <v>48</v>
      </c>
      <c r="C24" s="70">
        <f>C25+C26+C28+C29</f>
        <v>61000000</v>
      </c>
      <c r="D24" s="39"/>
      <c r="E24" s="39">
        <f>E25+E26+E27+E28+E29</f>
        <v>25000000</v>
      </c>
      <c r="F24" s="39">
        <f>F25+F26+F28+F29</f>
        <v>15386289</v>
      </c>
      <c r="G24" s="40">
        <f>G25+G26+G27+G28+G29</f>
        <v>42054389</v>
      </c>
      <c r="H24" s="39">
        <f>H25+H26+H27+H28+H29</f>
        <v>59331900</v>
      </c>
      <c r="I24" s="39">
        <f>I25+I26+I28+I29</f>
        <v>59331900</v>
      </c>
      <c r="J24" s="39">
        <f>J25+J26+J27+J28+J29</f>
        <v>0</v>
      </c>
      <c r="K24" s="39">
        <f>K25+K26+K28+K29</f>
        <v>59331900</v>
      </c>
      <c r="L24" s="41">
        <f t="shared" si="1"/>
        <v>1</v>
      </c>
      <c r="M24" s="42">
        <f t="shared" si="4"/>
        <v>59331900</v>
      </c>
      <c r="N24" s="43">
        <f>SUM(N25:N29)</f>
        <v>0</v>
      </c>
      <c r="O24" s="44">
        <f t="shared" si="2"/>
        <v>0</v>
      </c>
    </row>
    <row r="25" spans="1:15" x14ac:dyDescent="0.25">
      <c r="A25" s="45" t="s">
        <v>49</v>
      </c>
      <c r="B25" s="67" t="s">
        <v>50</v>
      </c>
      <c r="C25" s="47">
        <v>10000000</v>
      </c>
      <c r="D25" s="48"/>
      <c r="E25" s="49"/>
      <c r="F25" s="50"/>
      <c r="G25" s="51">
        <v>10000000</v>
      </c>
      <c r="H25" s="52">
        <f t="shared" si="3"/>
        <v>0</v>
      </c>
      <c r="I25" s="48"/>
      <c r="J25" s="56"/>
      <c r="K25" s="52">
        <f t="shared" ref="K25:K62" si="7">SUM(I25:J25)</f>
        <v>0</v>
      </c>
      <c r="L25" s="41" t="e">
        <f t="shared" si="1"/>
        <v>#DIV/0!</v>
      </c>
      <c r="M25" s="42">
        <f t="shared" si="4"/>
        <v>0</v>
      </c>
      <c r="N25" s="54">
        <f>H25-K25</f>
        <v>0</v>
      </c>
      <c r="O25" s="44" t="e">
        <f t="shared" si="2"/>
        <v>#DIV/0!</v>
      </c>
    </row>
    <row r="26" spans="1:15" x14ac:dyDescent="0.25">
      <c r="A26" s="45" t="s">
        <v>51</v>
      </c>
      <c r="B26" s="71" t="s">
        <v>52</v>
      </c>
      <c r="C26" s="47">
        <v>50000000</v>
      </c>
      <c r="D26" s="48"/>
      <c r="E26" s="49"/>
      <c r="F26" s="72">
        <v>15386289</v>
      </c>
      <c r="G26" s="51">
        <f>5000000+2054389</f>
        <v>7054389</v>
      </c>
      <c r="H26" s="52">
        <f t="shared" si="3"/>
        <v>58331900</v>
      </c>
      <c r="I26" s="48">
        <f>1100000+1098000+12193900+1080600+1072200+14456400+1098500+1091900+1070400+1100000+22970000</f>
        <v>58331900</v>
      </c>
      <c r="J26" s="48"/>
      <c r="K26" s="52">
        <f t="shared" si="7"/>
        <v>58331900</v>
      </c>
      <c r="L26" s="41">
        <f t="shared" si="1"/>
        <v>1</v>
      </c>
      <c r="M26" s="53">
        <f t="shared" si="4"/>
        <v>58331900</v>
      </c>
      <c r="N26" s="54">
        <f>H26-K26</f>
        <v>0</v>
      </c>
      <c r="O26" s="73">
        <f t="shared" si="2"/>
        <v>0</v>
      </c>
    </row>
    <row r="27" spans="1:15" x14ac:dyDescent="0.25">
      <c r="A27" s="45">
        <v>45</v>
      </c>
      <c r="B27" s="71" t="s">
        <v>52</v>
      </c>
      <c r="C27" s="47"/>
      <c r="D27" s="48"/>
      <c r="E27" s="49">
        <v>25000000</v>
      </c>
      <c r="F27" s="72"/>
      <c r="G27" s="51">
        <v>25000000</v>
      </c>
      <c r="H27" s="52">
        <f t="shared" si="3"/>
        <v>0</v>
      </c>
      <c r="I27" s="48"/>
      <c r="J27" s="48"/>
      <c r="K27" s="52"/>
      <c r="L27" s="41" t="e">
        <f t="shared" si="1"/>
        <v>#DIV/0!</v>
      </c>
      <c r="M27" s="53">
        <f t="shared" si="4"/>
        <v>0</v>
      </c>
      <c r="N27" s="54">
        <f>H27-K27</f>
        <v>0</v>
      </c>
      <c r="O27" s="73"/>
    </row>
    <row r="28" spans="1:15" x14ac:dyDescent="0.25">
      <c r="A28" s="45" t="s">
        <v>53</v>
      </c>
      <c r="B28" s="67" t="s">
        <v>54</v>
      </c>
      <c r="C28" s="55">
        <v>1000000</v>
      </c>
      <c r="D28" s="48"/>
      <c r="E28" s="49"/>
      <c r="F28" s="50"/>
      <c r="G28" s="74"/>
      <c r="H28" s="52">
        <f t="shared" si="3"/>
        <v>1000000</v>
      </c>
      <c r="I28" s="48">
        <f>1000000</f>
        <v>1000000</v>
      </c>
      <c r="J28" s="48"/>
      <c r="K28" s="52">
        <f t="shared" si="7"/>
        <v>1000000</v>
      </c>
      <c r="L28" s="41">
        <f t="shared" si="1"/>
        <v>1</v>
      </c>
      <c r="M28" s="42">
        <f t="shared" si="4"/>
        <v>1000000</v>
      </c>
      <c r="N28" s="54">
        <f>H28-K28</f>
        <v>0</v>
      </c>
      <c r="O28" s="73">
        <f t="shared" si="2"/>
        <v>0</v>
      </c>
    </row>
    <row r="29" spans="1:15" x14ac:dyDescent="0.25">
      <c r="A29" s="45" t="s">
        <v>55</v>
      </c>
      <c r="B29" s="67" t="s">
        <v>56</v>
      </c>
      <c r="C29" s="55">
        <v>0</v>
      </c>
      <c r="D29" s="48"/>
      <c r="E29" s="49"/>
      <c r="F29" s="50"/>
      <c r="G29" s="51"/>
      <c r="H29" s="52">
        <f t="shared" si="3"/>
        <v>0</v>
      </c>
      <c r="I29" s="48"/>
      <c r="J29" s="48"/>
      <c r="K29" s="52">
        <f t="shared" si="7"/>
        <v>0</v>
      </c>
      <c r="L29" s="41" t="e">
        <f t="shared" si="1"/>
        <v>#DIV/0!</v>
      </c>
      <c r="M29" s="42">
        <f t="shared" si="4"/>
        <v>0</v>
      </c>
      <c r="N29" s="54">
        <f>H29-K29</f>
        <v>0</v>
      </c>
      <c r="O29" s="73" t="e">
        <f t="shared" si="2"/>
        <v>#DIV/0!</v>
      </c>
    </row>
    <row r="30" spans="1:15" ht="15.75" x14ac:dyDescent="0.25">
      <c r="A30" s="37" t="s">
        <v>57</v>
      </c>
      <c r="B30" s="69" t="s">
        <v>58</v>
      </c>
      <c r="C30" s="60">
        <f>C31+C33+C35+C36+C37+C38+C39+C40+C41+C42+C43+C44+C45+C46</f>
        <v>135222165</v>
      </c>
      <c r="D30" s="48"/>
      <c r="E30" s="75">
        <f t="shared" ref="E30:J30" si="8">E31+E32+E33+E34+E35+E36+E37+E38+E39+E40+E41+E42+E43+E44+E45+E46</f>
        <v>63000000</v>
      </c>
      <c r="F30" s="62">
        <f t="shared" si="8"/>
        <v>34336156</v>
      </c>
      <c r="G30" s="63">
        <f t="shared" si="8"/>
        <v>33014356</v>
      </c>
      <c r="H30" s="39">
        <f t="shared" si="8"/>
        <v>199543965</v>
      </c>
      <c r="I30" s="64">
        <f t="shared" si="8"/>
        <v>182468184</v>
      </c>
      <c r="J30" s="76">
        <f t="shared" si="8"/>
        <v>17075781</v>
      </c>
      <c r="K30" s="39">
        <f>K31+K33+K35+K36+K37+K38+K39+K40+K41+K42+K43+K44+K45</f>
        <v>149543965</v>
      </c>
      <c r="L30" s="41">
        <f t="shared" si="1"/>
        <v>0.74942865347994869</v>
      </c>
      <c r="M30" s="42">
        <f>M31+M32+M33+M34+M35+M36+M37+M38+M39+M40+M41+M42+M43+M44+M45+M46</f>
        <v>199543965</v>
      </c>
      <c r="N30" s="65">
        <f>SUM(N31:N46)</f>
        <v>0</v>
      </c>
      <c r="O30" s="73">
        <f t="shared" si="2"/>
        <v>0</v>
      </c>
    </row>
    <row r="31" spans="1:15" x14ac:dyDescent="0.25">
      <c r="A31" s="45" t="s">
        <v>59</v>
      </c>
      <c r="B31" s="67" t="s">
        <v>60</v>
      </c>
      <c r="C31" s="47">
        <v>20000000</v>
      </c>
      <c r="D31" s="48"/>
      <c r="E31" s="49"/>
      <c r="F31" s="50">
        <v>500000</v>
      </c>
      <c r="G31" s="51">
        <v>2000000</v>
      </c>
      <c r="H31" s="52">
        <f t="shared" si="3"/>
        <v>18500000</v>
      </c>
      <c r="I31" s="48">
        <f>1000000+989620+1958900+990200+975900+5318752+998700+900000+958700+992400</f>
        <v>15083172</v>
      </c>
      <c r="J31" s="48">
        <v>3416828</v>
      </c>
      <c r="K31" s="52">
        <f t="shared" si="7"/>
        <v>18500000</v>
      </c>
      <c r="L31" s="41">
        <f t="shared" si="1"/>
        <v>1</v>
      </c>
      <c r="M31" s="53">
        <f t="shared" si="4"/>
        <v>18500000</v>
      </c>
      <c r="N31" s="54">
        <f t="shared" ref="N31:N44" si="9">H31-K31</f>
        <v>0</v>
      </c>
      <c r="O31" s="73">
        <f t="shared" si="2"/>
        <v>0</v>
      </c>
    </row>
    <row r="32" spans="1:15" x14ac:dyDescent="0.25">
      <c r="A32" s="45">
        <v>45</v>
      </c>
      <c r="B32" s="67" t="s">
        <v>60</v>
      </c>
      <c r="C32" s="47"/>
      <c r="D32" s="48"/>
      <c r="E32" s="49">
        <v>13000000</v>
      </c>
      <c r="F32" s="50"/>
      <c r="G32" s="51">
        <v>13000000</v>
      </c>
      <c r="H32" s="52">
        <f t="shared" si="3"/>
        <v>0</v>
      </c>
      <c r="I32" s="48"/>
      <c r="J32" s="48"/>
      <c r="K32" s="52"/>
      <c r="L32" s="41" t="e">
        <f t="shared" si="1"/>
        <v>#DIV/0!</v>
      </c>
      <c r="M32" s="53">
        <f t="shared" si="4"/>
        <v>0</v>
      </c>
      <c r="N32" s="54">
        <f t="shared" si="9"/>
        <v>0</v>
      </c>
      <c r="O32" s="73" t="e">
        <f t="shared" si="2"/>
        <v>#DIV/0!</v>
      </c>
    </row>
    <row r="33" spans="1:15" x14ac:dyDescent="0.25">
      <c r="A33" s="45" t="s">
        <v>61</v>
      </c>
      <c r="B33" s="67" t="s">
        <v>62</v>
      </c>
      <c r="C33" s="47">
        <v>31000000</v>
      </c>
      <c r="D33" s="48"/>
      <c r="E33" s="49"/>
      <c r="F33" s="50">
        <f>10000000+8000000+9000000</f>
        <v>27000000</v>
      </c>
      <c r="G33" s="51"/>
      <c r="H33" s="52">
        <f t="shared" si="3"/>
        <v>58000000</v>
      </c>
      <c r="I33" s="48">
        <f>1690221+5217596+20748612+7866281+13186936+290354</f>
        <v>49000000</v>
      </c>
      <c r="J33" s="48">
        <v>9000000</v>
      </c>
      <c r="K33" s="52">
        <f t="shared" si="7"/>
        <v>58000000</v>
      </c>
      <c r="L33" s="41">
        <f t="shared" si="1"/>
        <v>1</v>
      </c>
      <c r="M33" s="53">
        <f t="shared" si="4"/>
        <v>58000000</v>
      </c>
      <c r="N33" s="54">
        <f t="shared" si="9"/>
        <v>0</v>
      </c>
      <c r="O33" s="73">
        <f t="shared" si="2"/>
        <v>0</v>
      </c>
    </row>
    <row r="34" spans="1:15" x14ac:dyDescent="0.25">
      <c r="A34" s="45">
        <v>45</v>
      </c>
      <c r="B34" s="67" t="s">
        <v>62</v>
      </c>
      <c r="C34" s="47"/>
      <c r="D34" s="48"/>
      <c r="E34" s="49">
        <v>50000000</v>
      </c>
      <c r="F34" s="50"/>
      <c r="G34" s="51"/>
      <c r="H34" s="52">
        <f t="shared" si="3"/>
        <v>50000000</v>
      </c>
      <c r="I34" s="48">
        <f>11171389+7228700+2757867+5016915+9708057+12248120</f>
        <v>48131048</v>
      </c>
      <c r="J34" s="48">
        <v>1868952</v>
      </c>
      <c r="K34" s="52"/>
      <c r="L34" s="41">
        <f t="shared" si="1"/>
        <v>0</v>
      </c>
      <c r="M34" s="53">
        <f t="shared" si="4"/>
        <v>50000000</v>
      </c>
      <c r="N34" s="54">
        <f>H34-M34</f>
        <v>0</v>
      </c>
      <c r="O34" s="73">
        <f t="shared" si="2"/>
        <v>0</v>
      </c>
    </row>
    <row r="35" spans="1:15" x14ac:dyDescent="0.25">
      <c r="A35" s="45" t="s">
        <v>63</v>
      </c>
      <c r="B35" s="67" t="s">
        <v>64</v>
      </c>
      <c r="C35" s="47">
        <v>4400000</v>
      </c>
      <c r="D35" s="48"/>
      <c r="E35" s="49"/>
      <c r="F35" s="50"/>
      <c r="G35" s="51">
        <v>473918</v>
      </c>
      <c r="H35" s="52">
        <f t="shared" si="3"/>
        <v>3926082</v>
      </c>
      <c r="I35" s="48">
        <f>400000+392482+715800+330000+242300+372900+323700+399000+391500+358400</f>
        <v>3926082</v>
      </c>
      <c r="J35" s="48"/>
      <c r="K35" s="52">
        <f t="shared" si="7"/>
        <v>3926082</v>
      </c>
      <c r="L35" s="41">
        <f t="shared" si="1"/>
        <v>1</v>
      </c>
      <c r="M35" s="53">
        <f t="shared" si="4"/>
        <v>3926082</v>
      </c>
      <c r="N35" s="54">
        <f t="shared" si="9"/>
        <v>0</v>
      </c>
      <c r="O35" s="73">
        <f t="shared" si="2"/>
        <v>0</v>
      </c>
    </row>
    <row r="36" spans="1:15" x14ac:dyDescent="0.25">
      <c r="A36" s="45" t="s">
        <v>65</v>
      </c>
      <c r="B36" s="67" t="s">
        <v>66</v>
      </c>
      <c r="C36" s="55">
        <v>10000000</v>
      </c>
      <c r="D36" s="48"/>
      <c r="E36" s="49"/>
      <c r="F36" s="50">
        <v>471900</v>
      </c>
      <c r="G36" s="51"/>
      <c r="H36" s="52">
        <f t="shared" si="3"/>
        <v>10471900</v>
      </c>
      <c r="I36" s="48">
        <f>2034400+2174100+1087100+978500+471500+265700+899400+680600</f>
        <v>8591300</v>
      </c>
      <c r="J36" s="56">
        <v>1880600</v>
      </c>
      <c r="K36" s="52">
        <f t="shared" si="7"/>
        <v>10471900</v>
      </c>
      <c r="L36" s="41">
        <f t="shared" si="1"/>
        <v>1</v>
      </c>
      <c r="M36" s="53">
        <f t="shared" si="4"/>
        <v>10471900</v>
      </c>
      <c r="N36" s="54">
        <f t="shared" si="9"/>
        <v>0</v>
      </c>
      <c r="O36" s="44">
        <f t="shared" si="2"/>
        <v>0</v>
      </c>
    </row>
    <row r="37" spans="1:15" x14ac:dyDescent="0.25">
      <c r="A37" s="45" t="s">
        <v>67</v>
      </c>
      <c r="B37" s="67" t="s">
        <v>68</v>
      </c>
      <c r="C37" s="55">
        <v>4800000</v>
      </c>
      <c r="D37" s="48"/>
      <c r="E37" s="49"/>
      <c r="F37" s="50">
        <f>347740+500000</f>
        <v>847740</v>
      </c>
      <c r="G37" s="51"/>
      <c r="H37" s="52">
        <f t="shared" si="3"/>
        <v>5647740</v>
      </c>
      <c r="I37" s="48">
        <f>503294+691583+957252+177983+347677+645216+330051+408414+741220+297749</f>
        <v>5100439</v>
      </c>
      <c r="J37" s="56">
        <v>547301</v>
      </c>
      <c r="K37" s="52">
        <f t="shared" si="7"/>
        <v>5647740</v>
      </c>
      <c r="L37" s="41">
        <f t="shared" si="1"/>
        <v>1</v>
      </c>
      <c r="M37" s="53">
        <f t="shared" si="4"/>
        <v>5647740</v>
      </c>
      <c r="N37" s="54">
        <f t="shared" si="9"/>
        <v>0</v>
      </c>
      <c r="O37" s="44">
        <f t="shared" si="2"/>
        <v>0</v>
      </c>
    </row>
    <row r="38" spans="1:15" x14ac:dyDescent="0.25">
      <c r="A38" s="45" t="s">
        <v>69</v>
      </c>
      <c r="B38" s="67" t="s">
        <v>70</v>
      </c>
      <c r="C38" s="55">
        <v>3200000</v>
      </c>
      <c r="D38" s="48"/>
      <c r="E38" s="49"/>
      <c r="F38" s="50"/>
      <c r="G38" s="51">
        <f>1500000+382500</f>
        <v>1882500</v>
      </c>
      <c r="H38" s="52">
        <f t="shared" si="3"/>
        <v>1317500</v>
      </c>
      <c r="I38" s="48">
        <f>244300+217900+493200</f>
        <v>955400</v>
      </c>
      <c r="J38" s="56">
        <v>362100</v>
      </c>
      <c r="K38" s="52">
        <f t="shared" si="7"/>
        <v>1317500</v>
      </c>
      <c r="L38" s="41">
        <f t="shared" si="1"/>
        <v>1</v>
      </c>
      <c r="M38" s="53">
        <f t="shared" si="4"/>
        <v>1317500</v>
      </c>
      <c r="N38" s="54">
        <f t="shared" si="9"/>
        <v>0</v>
      </c>
      <c r="O38" s="44">
        <v>0</v>
      </c>
    </row>
    <row r="39" spans="1:15" x14ac:dyDescent="0.25">
      <c r="A39" s="45" t="s">
        <v>71</v>
      </c>
      <c r="B39" s="71" t="s">
        <v>72</v>
      </c>
      <c r="C39" s="55">
        <v>3822165</v>
      </c>
      <c r="D39" s="48"/>
      <c r="E39" s="49"/>
      <c r="F39" s="50"/>
      <c r="G39" s="51">
        <f>2000000+822165</f>
        <v>2822165</v>
      </c>
      <c r="H39" s="52">
        <f t="shared" si="3"/>
        <v>1000000</v>
      </c>
      <c r="I39" s="48">
        <f>1000000</f>
        <v>1000000</v>
      </c>
      <c r="J39" s="48"/>
      <c r="K39" s="52">
        <f t="shared" si="7"/>
        <v>1000000</v>
      </c>
      <c r="L39" s="41">
        <f t="shared" si="1"/>
        <v>1</v>
      </c>
      <c r="M39" s="53">
        <f t="shared" si="4"/>
        <v>1000000</v>
      </c>
      <c r="N39" s="54">
        <f t="shared" si="9"/>
        <v>0</v>
      </c>
      <c r="O39" s="44">
        <f t="shared" ref="O39:O49" si="10">N39/H39</f>
        <v>0</v>
      </c>
    </row>
    <row r="40" spans="1:15" x14ac:dyDescent="0.25">
      <c r="A40" s="45" t="s">
        <v>73</v>
      </c>
      <c r="B40" s="67" t="s">
        <v>74</v>
      </c>
      <c r="C40" s="55">
        <v>0</v>
      </c>
      <c r="D40" s="48"/>
      <c r="E40" s="49"/>
      <c r="F40" s="50">
        <v>3000000</v>
      </c>
      <c r="G40" s="51"/>
      <c r="H40" s="52">
        <f t="shared" si="3"/>
        <v>3000000</v>
      </c>
      <c r="I40" s="48">
        <f>3000000</f>
        <v>3000000</v>
      </c>
      <c r="J40" s="48"/>
      <c r="K40" s="52">
        <f t="shared" si="7"/>
        <v>3000000</v>
      </c>
      <c r="L40" s="41">
        <f t="shared" si="1"/>
        <v>1</v>
      </c>
      <c r="M40" s="53">
        <f t="shared" si="4"/>
        <v>3000000</v>
      </c>
      <c r="N40" s="54">
        <f t="shared" si="9"/>
        <v>0</v>
      </c>
      <c r="O40" s="44">
        <f t="shared" si="10"/>
        <v>0</v>
      </c>
    </row>
    <row r="41" spans="1:15" x14ac:dyDescent="0.25">
      <c r="A41" s="45" t="s">
        <v>75</v>
      </c>
      <c r="B41" s="67" t="s">
        <v>76</v>
      </c>
      <c r="C41" s="55">
        <v>13000000</v>
      </c>
      <c r="D41" s="48"/>
      <c r="E41" s="49"/>
      <c r="F41" s="50"/>
      <c r="G41" s="51">
        <f>5000000+1218823</f>
        <v>6218823</v>
      </c>
      <c r="H41" s="52">
        <f t="shared" si="3"/>
        <v>6781177</v>
      </c>
      <c r="I41" s="48">
        <f>4952921+1396306+431950</f>
        <v>6781177</v>
      </c>
      <c r="J41" s="48"/>
      <c r="K41" s="52">
        <f t="shared" si="7"/>
        <v>6781177</v>
      </c>
      <c r="L41" s="41">
        <f t="shared" si="1"/>
        <v>1</v>
      </c>
      <c r="M41" s="53">
        <f t="shared" si="4"/>
        <v>6781177</v>
      </c>
      <c r="N41" s="54">
        <f t="shared" si="9"/>
        <v>0</v>
      </c>
      <c r="O41" s="44">
        <f t="shared" si="10"/>
        <v>0</v>
      </c>
    </row>
    <row r="42" spans="1:15" x14ac:dyDescent="0.25">
      <c r="A42" s="45" t="s">
        <v>77</v>
      </c>
      <c r="B42" s="71" t="s">
        <v>78</v>
      </c>
      <c r="C42" s="55">
        <v>19500000</v>
      </c>
      <c r="D42" s="48"/>
      <c r="E42" s="49"/>
      <c r="F42" s="50">
        <v>2516516</v>
      </c>
      <c r="G42" s="51"/>
      <c r="H42" s="52">
        <f t="shared" si="3"/>
        <v>22016516</v>
      </c>
      <c r="I42" s="48">
        <f>2616516+19400000</f>
        <v>22016516</v>
      </c>
      <c r="J42" s="48"/>
      <c r="K42" s="52">
        <f t="shared" si="7"/>
        <v>22016516</v>
      </c>
      <c r="L42" s="41">
        <f t="shared" si="1"/>
        <v>1</v>
      </c>
      <c r="M42" s="53">
        <f t="shared" si="4"/>
        <v>22016516</v>
      </c>
      <c r="N42" s="54">
        <f t="shared" si="9"/>
        <v>0</v>
      </c>
      <c r="O42" s="73">
        <f t="shared" si="10"/>
        <v>0</v>
      </c>
    </row>
    <row r="43" spans="1:15" x14ac:dyDescent="0.25">
      <c r="A43" s="45" t="s">
        <v>79</v>
      </c>
      <c r="B43" s="67" t="s">
        <v>80</v>
      </c>
      <c r="C43" s="55">
        <v>3000000</v>
      </c>
      <c r="D43" s="48"/>
      <c r="E43" s="49"/>
      <c r="F43" s="50"/>
      <c r="G43" s="51">
        <v>2116950</v>
      </c>
      <c r="H43" s="52">
        <f t="shared" si="3"/>
        <v>883050</v>
      </c>
      <c r="I43" s="48">
        <f>883050</f>
        <v>883050</v>
      </c>
      <c r="J43" s="48"/>
      <c r="K43" s="52">
        <f t="shared" si="7"/>
        <v>883050</v>
      </c>
      <c r="L43" s="41">
        <f t="shared" si="1"/>
        <v>1</v>
      </c>
      <c r="M43" s="53">
        <f t="shared" si="4"/>
        <v>883050</v>
      </c>
      <c r="N43" s="54">
        <f t="shared" si="9"/>
        <v>0</v>
      </c>
      <c r="O43" s="73">
        <f t="shared" si="10"/>
        <v>0</v>
      </c>
    </row>
    <row r="44" spans="1:15" x14ac:dyDescent="0.25">
      <c r="A44" s="45" t="s">
        <v>81</v>
      </c>
      <c r="B44" s="67" t="s">
        <v>82</v>
      </c>
      <c r="C44" s="55">
        <v>19500000</v>
      </c>
      <c r="D44" s="48"/>
      <c r="E44" s="49"/>
      <c r="F44" s="50"/>
      <c r="G44" s="51">
        <v>1500000</v>
      </c>
      <c r="H44" s="52">
        <f t="shared" si="3"/>
        <v>18000000</v>
      </c>
      <c r="I44" s="48">
        <f>18000000</f>
        <v>18000000</v>
      </c>
      <c r="J44" s="48"/>
      <c r="K44" s="52">
        <f t="shared" si="7"/>
        <v>18000000</v>
      </c>
      <c r="L44" s="41">
        <f t="shared" si="1"/>
        <v>1</v>
      </c>
      <c r="M44" s="53">
        <f t="shared" si="4"/>
        <v>18000000</v>
      </c>
      <c r="N44" s="54">
        <f t="shared" si="9"/>
        <v>0</v>
      </c>
      <c r="O44" s="44">
        <f t="shared" si="10"/>
        <v>0</v>
      </c>
    </row>
    <row r="45" spans="1:15" x14ac:dyDescent="0.25">
      <c r="A45" s="45" t="s">
        <v>83</v>
      </c>
      <c r="B45" s="67" t="s">
        <v>84</v>
      </c>
      <c r="C45" s="55">
        <v>3000000</v>
      </c>
      <c r="D45" s="48"/>
      <c r="E45" s="49"/>
      <c r="F45" s="50"/>
      <c r="G45" s="51">
        <v>3000000</v>
      </c>
      <c r="H45" s="52">
        <f t="shared" si="3"/>
        <v>0</v>
      </c>
      <c r="I45" s="48"/>
      <c r="J45" s="48"/>
      <c r="K45" s="52">
        <f t="shared" si="7"/>
        <v>0</v>
      </c>
      <c r="L45" s="41" t="e">
        <f>K45/H45</f>
        <v>#DIV/0!</v>
      </c>
      <c r="M45" s="53">
        <f t="shared" si="4"/>
        <v>0</v>
      </c>
      <c r="N45" s="54">
        <f>H45-K45</f>
        <v>0</v>
      </c>
      <c r="O45" s="44" t="e">
        <f t="shared" si="10"/>
        <v>#DIV/0!</v>
      </c>
    </row>
    <row r="46" spans="1:15" x14ac:dyDescent="0.25">
      <c r="A46" s="45" t="s">
        <v>85</v>
      </c>
      <c r="B46" s="67" t="s">
        <v>86</v>
      </c>
      <c r="C46" s="55">
        <v>0</v>
      </c>
      <c r="D46" s="48"/>
      <c r="E46" s="49"/>
      <c r="F46" s="50"/>
      <c r="G46" s="51"/>
      <c r="H46" s="52">
        <f t="shared" si="3"/>
        <v>0</v>
      </c>
      <c r="I46" s="48"/>
      <c r="J46" s="48"/>
      <c r="K46" s="52">
        <f t="shared" si="7"/>
        <v>0</v>
      </c>
      <c r="L46" s="41" t="e">
        <f>K46/H46</f>
        <v>#DIV/0!</v>
      </c>
      <c r="M46" s="53">
        <f t="shared" si="4"/>
        <v>0</v>
      </c>
      <c r="N46" s="54">
        <f>H46-K46</f>
        <v>0</v>
      </c>
      <c r="O46" s="44" t="e">
        <f t="shared" si="10"/>
        <v>#DIV/0!</v>
      </c>
    </row>
    <row r="47" spans="1:15" ht="15.75" x14ac:dyDescent="0.25">
      <c r="A47" s="37" t="s">
        <v>87</v>
      </c>
      <c r="B47" s="69" t="s">
        <v>88</v>
      </c>
      <c r="C47" s="60">
        <f>C48+C49+C50+C51</f>
        <v>94200000</v>
      </c>
      <c r="D47" s="48"/>
      <c r="E47" s="61">
        <f t="shared" ref="E47:K47" si="11">E48+E49+E50+E51</f>
        <v>0</v>
      </c>
      <c r="F47" s="77">
        <f t="shared" si="11"/>
        <v>786184</v>
      </c>
      <c r="G47" s="63">
        <f t="shared" si="11"/>
        <v>32507618</v>
      </c>
      <c r="H47" s="39">
        <f t="shared" si="11"/>
        <v>62478566</v>
      </c>
      <c r="I47" s="64">
        <f t="shared" si="11"/>
        <v>56015486</v>
      </c>
      <c r="J47" s="76">
        <f t="shared" si="11"/>
        <v>6463080</v>
      </c>
      <c r="K47" s="39">
        <f t="shared" si="11"/>
        <v>62478566</v>
      </c>
      <c r="L47" s="41">
        <f t="shared" si="1"/>
        <v>1</v>
      </c>
      <c r="M47" s="42">
        <f t="shared" si="4"/>
        <v>62478566</v>
      </c>
      <c r="N47" s="65">
        <f>SUM(N48:N51)</f>
        <v>0</v>
      </c>
      <c r="O47" s="44">
        <f t="shared" si="10"/>
        <v>0</v>
      </c>
    </row>
    <row r="48" spans="1:15" x14ac:dyDescent="0.25">
      <c r="A48" s="45" t="s">
        <v>89</v>
      </c>
      <c r="B48" s="67" t="s">
        <v>90</v>
      </c>
      <c r="C48" s="47">
        <v>25000000</v>
      </c>
      <c r="D48" s="48"/>
      <c r="E48" s="49"/>
      <c r="F48" s="50">
        <v>786184</v>
      </c>
      <c r="G48" s="51">
        <f>3000000+15000000</f>
        <v>18000000</v>
      </c>
      <c r="H48" s="52">
        <f t="shared" si="3"/>
        <v>7786184</v>
      </c>
      <c r="I48" s="48">
        <f>1436136+185170+1644386+1774443+1474443</f>
        <v>6514578</v>
      </c>
      <c r="J48" s="48">
        <v>1271606</v>
      </c>
      <c r="K48" s="52">
        <f t="shared" si="7"/>
        <v>7786184</v>
      </c>
      <c r="L48" s="41">
        <f t="shared" si="1"/>
        <v>1</v>
      </c>
      <c r="M48" s="53">
        <f t="shared" si="4"/>
        <v>7786184</v>
      </c>
      <c r="N48" s="54">
        <f>H48-K48</f>
        <v>0</v>
      </c>
      <c r="O48" s="44">
        <f t="shared" si="10"/>
        <v>0</v>
      </c>
    </row>
    <row r="49" spans="1:15" x14ac:dyDescent="0.25">
      <c r="A49" s="45" t="s">
        <v>91</v>
      </c>
      <c r="B49" s="67" t="s">
        <v>92</v>
      </c>
      <c r="C49" s="47">
        <v>33200000</v>
      </c>
      <c r="D49" s="48"/>
      <c r="E49" s="49"/>
      <c r="F49" s="50"/>
      <c r="G49" s="51">
        <f>1000000+1233303</f>
        <v>2233303</v>
      </c>
      <c r="H49" s="52">
        <f t="shared" si="3"/>
        <v>30966697</v>
      </c>
      <c r="I49" s="48">
        <f>2308630+2578336+2578336+2514374+2514374+2801224+2618003+2610684+2610684+2610684+2610684</f>
        <v>28356013</v>
      </c>
      <c r="J49" s="56">
        <v>2610684</v>
      </c>
      <c r="K49" s="52">
        <f t="shared" si="7"/>
        <v>30966697</v>
      </c>
      <c r="L49" s="41">
        <f t="shared" si="1"/>
        <v>1</v>
      </c>
      <c r="M49" s="53">
        <f t="shared" si="4"/>
        <v>30966697</v>
      </c>
      <c r="N49" s="54">
        <f>H49-K49</f>
        <v>0</v>
      </c>
      <c r="O49" s="44">
        <f t="shared" si="10"/>
        <v>0</v>
      </c>
    </row>
    <row r="50" spans="1:15" x14ac:dyDescent="0.25">
      <c r="A50" s="57">
        <v>2020110304</v>
      </c>
      <c r="B50" s="67" t="s">
        <v>93</v>
      </c>
      <c r="C50" s="47">
        <v>33000000</v>
      </c>
      <c r="D50" s="48"/>
      <c r="E50" s="49"/>
      <c r="F50" s="50"/>
      <c r="G50" s="51">
        <f>6516516+3956837</f>
        <v>10473353</v>
      </c>
      <c r="H50" s="52">
        <f t="shared" si="3"/>
        <v>22526647</v>
      </c>
      <c r="I50" s="48">
        <f>674072+1168725+3322823+1168725+1168725+1168725+3272071+1293471+1293471+3233046+3233046</f>
        <v>20996900</v>
      </c>
      <c r="J50" s="56">
        <v>1529747</v>
      </c>
      <c r="K50" s="52">
        <f t="shared" si="7"/>
        <v>22526647</v>
      </c>
      <c r="L50" s="41">
        <f t="shared" si="1"/>
        <v>1</v>
      </c>
      <c r="M50" s="53">
        <f t="shared" si="4"/>
        <v>22526647</v>
      </c>
      <c r="N50" s="54">
        <f>H50-K50</f>
        <v>0</v>
      </c>
      <c r="O50" s="44">
        <v>0</v>
      </c>
    </row>
    <row r="51" spans="1:15" x14ac:dyDescent="0.25">
      <c r="A51" s="57">
        <v>2020110305</v>
      </c>
      <c r="B51" s="67" t="s">
        <v>94</v>
      </c>
      <c r="C51" s="55">
        <v>3000000</v>
      </c>
      <c r="D51" s="39"/>
      <c r="E51" s="39"/>
      <c r="F51" s="39"/>
      <c r="G51" s="78">
        <f>1500000+300962</f>
        <v>1800962</v>
      </c>
      <c r="H51" s="52">
        <f t="shared" si="3"/>
        <v>1199038</v>
      </c>
      <c r="I51" s="52">
        <f>147995</f>
        <v>147995</v>
      </c>
      <c r="J51" s="52">
        <v>1051043</v>
      </c>
      <c r="K51" s="52">
        <f t="shared" si="7"/>
        <v>1199038</v>
      </c>
      <c r="L51" s="41">
        <f t="shared" si="1"/>
        <v>1</v>
      </c>
      <c r="M51" s="53">
        <f t="shared" si="4"/>
        <v>1199038</v>
      </c>
      <c r="N51" s="54">
        <f>H51-K51</f>
        <v>0</v>
      </c>
      <c r="O51" s="44" t="e">
        <f>#REF!/H51</f>
        <v>#REF!</v>
      </c>
    </row>
    <row r="52" spans="1:15" ht="15.75" x14ac:dyDescent="0.25">
      <c r="A52" s="37" t="s">
        <v>95</v>
      </c>
      <c r="B52" s="69" t="s">
        <v>96</v>
      </c>
      <c r="C52" s="60">
        <f>C53+C54+C55+C56+C57+C58+C59+C60+C61+C62</f>
        <v>93900000</v>
      </c>
      <c r="D52" s="48"/>
      <c r="E52" s="79">
        <f>E53</f>
        <v>0</v>
      </c>
      <c r="F52" s="80">
        <f>F53+F54+F55+F56+F57+F58+F59+F60+F61+F62</f>
        <v>4402991</v>
      </c>
      <c r="G52" s="51">
        <f>G53+G54+G55+G56+G57+G58+G59+G60+G61+G62</f>
        <v>6982723</v>
      </c>
      <c r="H52" s="39">
        <f>H53+H54+H55+H56+H57+H58+H59+H60+H61+H62</f>
        <v>91320268</v>
      </c>
      <c r="I52" s="64">
        <f>I53+I54+I55+I56+I57+I58+I59+I60+I61+I62</f>
        <v>81688197</v>
      </c>
      <c r="J52" s="76">
        <f>J53+J54+J55+J56+J57+J58+J59+J60+J61+J62</f>
        <v>9632071</v>
      </c>
      <c r="K52" s="39">
        <f t="shared" si="7"/>
        <v>91320268</v>
      </c>
      <c r="L52" s="41">
        <f t="shared" si="1"/>
        <v>1</v>
      </c>
      <c r="M52" s="42">
        <f t="shared" si="4"/>
        <v>91320268</v>
      </c>
      <c r="N52" s="65">
        <f>SUM(N53:N62)</f>
        <v>0</v>
      </c>
      <c r="O52" s="44">
        <f t="shared" ref="O52:O63" si="12">N52/H52</f>
        <v>0</v>
      </c>
    </row>
    <row r="53" spans="1:15" x14ac:dyDescent="0.25">
      <c r="A53" s="45" t="s">
        <v>97</v>
      </c>
      <c r="B53" s="67" t="s">
        <v>98</v>
      </c>
      <c r="C53" s="47">
        <v>21000000</v>
      </c>
      <c r="D53" s="48"/>
      <c r="E53" s="49"/>
      <c r="F53" s="50">
        <v>4227614</v>
      </c>
      <c r="G53" s="51"/>
      <c r="H53" s="52">
        <f t="shared" si="3"/>
        <v>25227614</v>
      </c>
      <c r="I53" s="48">
        <f>1570000+1970000+1570000+1570000+1570000+3344443+1698000+3598000+1698000+1698000</f>
        <v>20286443</v>
      </c>
      <c r="J53" s="56">
        <v>4941171</v>
      </c>
      <c r="K53" s="52">
        <f t="shared" si="7"/>
        <v>25227614</v>
      </c>
      <c r="L53" s="41">
        <f t="shared" si="1"/>
        <v>1</v>
      </c>
      <c r="M53" s="53">
        <f t="shared" si="4"/>
        <v>25227614</v>
      </c>
      <c r="N53" s="54">
        <f t="shared" ref="N53:N62" si="13">H53-K53</f>
        <v>0</v>
      </c>
      <c r="O53" s="44">
        <f t="shared" si="12"/>
        <v>0</v>
      </c>
    </row>
    <row r="54" spans="1:15" x14ac:dyDescent="0.25">
      <c r="A54" s="45" t="s">
        <v>99</v>
      </c>
      <c r="B54" s="67" t="s">
        <v>92</v>
      </c>
      <c r="C54" s="47">
        <v>0</v>
      </c>
      <c r="D54" s="48"/>
      <c r="E54" s="49"/>
      <c r="F54" s="50"/>
      <c r="G54" s="51"/>
      <c r="H54" s="52">
        <f t="shared" si="3"/>
        <v>0</v>
      </c>
      <c r="I54" s="48"/>
      <c r="J54" s="48"/>
      <c r="K54" s="52">
        <f t="shared" si="7"/>
        <v>0</v>
      </c>
      <c r="L54" s="41" t="e">
        <f t="shared" si="1"/>
        <v>#DIV/0!</v>
      </c>
      <c r="M54" s="42">
        <f t="shared" si="4"/>
        <v>0</v>
      </c>
      <c r="N54" s="54">
        <f t="shared" si="13"/>
        <v>0</v>
      </c>
      <c r="O54" s="44" t="e">
        <f t="shared" si="12"/>
        <v>#DIV/0!</v>
      </c>
    </row>
    <row r="55" spans="1:15" x14ac:dyDescent="0.25">
      <c r="A55" s="45" t="s">
        <v>100</v>
      </c>
      <c r="B55" s="67" t="s">
        <v>101</v>
      </c>
      <c r="C55" s="47">
        <v>2300000</v>
      </c>
      <c r="D55" s="48"/>
      <c r="E55" s="49"/>
      <c r="F55" s="50">
        <v>175377</v>
      </c>
      <c r="G55" s="51"/>
      <c r="H55" s="52">
        <f t="shared" si="3"/>
        <v>2475377</v>
      </c>
      <c r="I55" s="48">
        <f>141777+206700+206700+206500+205100+225200+213900+213900+213900+213900+213900</f>
        <v>2261477</v>
      </c>
      <c r="J55" s="56">
        <v>213900</v>
      </c>
      <c r="K55" s="52">
        <f t="shared" si="7"/>
        <v>2475377</v>
      </c>
      <c r="L55" s="41">
        <f t="shared" si="1"/>
        <v>1</v>
      </c>
      <c r="M55" s="53">
        <f t="shared" si="4"/>
        <v>2475377</v>
      </c>
      <c r="N55" s="54">
        <f t="shared" si="13"/>
        <v>0</v>
      </c>
      <c r="O55" s="44">
        <f t="shared" si="12"/>
        <v>0</v>
      </c>
    </row>
    <row r="56" spans="1:15" x14ac:dyDescent="0.25">
      <c r="A56" s="45" t="s">
        <v>102</v>
      </c>
      <c r="B56" s="67" t="s">
        <v>93</v>
      </c>
      <c r="C56" s="55">
        <v>20000000</v>
      </c>
      <c r="D56" s="48"/>
      <c r="E56" s="49"/>
      <c r="F56" s="50"/>
      <c r="G56" s="51"/>
      <c r="H56" s="52">
        <f t="shared" si="3"/>
        <v>20000000</v>
      </c>
      <c r="I56" s="48">
        <f>2154098+2040207+2040207+1949907+1949907+2333318+1949907+1939575+1939575</f>
        <v>18296701</v>
      </c>
      <c r="J56" s="81">
        <v>1703299</v>
      </c>
      <c r="K56" s="52">
        <f t="shared" si="7"/>
        <v>20000000</v>
      </c>
      <c r="L56" s="41">
        <f t="shared" si="1"/>
        <v>1</v>
      </c>
      <c r="M56" s="53">
        <f t="shared" si="4"/>
        <v>20000000</v>
      </c>
      <c r="N56" s="54">
        <f t="shared" si="13"/>
        <v>0</v>
      </c>
      <c r="O56" s="44">
        <f t="shared" si="12"/>
        <v>0</v>
      </c>
    </row>
    <row r="57" spans="1:15" x14ac:dyDescent="0.25">
      <c r="A57" s="45" t="s">
        <v>103</v>
      </c>
      <c r="B57" s="67" t="s">
        <v>104</v>
      </c>
      <c r="C57" s="55">
        <v>19000000</v>
      </c>
      <c r="D57" s="48"/>
      <c r="E57" s="49"/>
      <c r="F57" s="50"/>
      <c r="G57" s="51"/>
      <c r="H57" s="52">
        <f t="shared" si="3"/>
        <v>19000000</v>
      </c>
      <c r="I57" s="48">
        <f>1086414+1195300+1195300+1194300+1183300+4073823+1232000+1232000+1232000+2911563+1232000</f>
        <v>17768000</v>
      </c>
      <c r="J57" s="56">
        <v>1232000</v>
      </c>
      <c r="K57" s="52">
        <f t="shared" si="7"/>
        <v>19000000</v>
      </c>
      <c r="L57" s="41">
        <f t="shared" si="1"/>
        <v>1</v>
      </c>
      <c r="M57" s="53">
        <f t="shared" si="4"/>
        <v>19000000</v>
      </c>
      <c r="N57" s="54">
        <f t="shared" si="13"/>
        <v>0</v>
      </c>
      <c r="O57" s="44">
        <f t="shared" si="12"/>
        <v>0</v>
      </c>
    </row>
    <row r="58" spans="1:15" x14ac:dyDescent="0.25">
      <c r="A58" s="45" t="s">
        <v>105</v>
      </c>
      <c r="B58" s="67" t="s">
        <v>106</v>
      </c>
      <c r="C58" s="55">
        <v>17000000</v>
      </c>
      <c r="D58" s="48"/>
      <c r="E58" s="49"/>
      <c r="F58" s="50"/>
      <c r="G58" s="51">
        <v>1982723</v>
      </c>
      <c r="H58" s="52">
        <f t="shared" si="3"/>
        <v>15017277</v>
      </c>
      <c r="I58" s="48">
        <f>814810+896600+896600+895900+887600+3055367+924000+924000+924000+2950400+924000</f>
        <v>14093277</v>
      </c>
      <c r="J58" s="56">
        <v>924000</v>
      </c>
      <c r="K58" s="52">
        <f t="shared" si="7"/>
        <v>15017277</v>
      </c>
      <c r="L58" s="41">
        <f t="shared" si="1"/>
        <v>1</v>
      </c>
      <c r="M58" s="53">
        <f t="shared" si="4"/>
        <v>15017277</v>
      </c>
      <c r="N58" s="54">
        <f t="shared" si="13"/>
        <v>0</v>
      </c>
      <c r="O58" s="44">
        <f t="shared" si="12"/>
        <v>0</v>
      </c>
    </row>
    <row r="59" spans="1:15" x14ac:dyDescent="0.25">
      <c r="A59" s="45" t="s">
        <v>107</v>
      </c>
      <c r="B59" s="67" t="s">
        <v>108</v>
      </c>
      <c r="C59" s="55">
        <v>2400000</v>
      </c>
      <c r="D59" s="48"/>
      <c r="E59" s="49"/>
      <c r="F59" s="50"/>
      <c r="G59" s="51"/>
      <c r="H59" s="52">
        <f t="shared" si="3"/>
        <v>2400000</v>
      </c>
      <c r="I59" s="48">
        <f>135802+149500+149500+149400+148000+509228+154000+154000+154000+388570+154000</f>
        <v>2246000</v>
      </c>
      <c r="J59" s="56">
        <v>154000</v>
      </c>
      <c r="K59" s="52">
        <f t="shared" si="7"/>
        <v>2400000</v>
      </c>
      <c r="L59" s="41">
        <f t="shared" si="1"/>
        <v>1</v>
      </c>
      <c r="M59" s="53">
        <f t="shared" si="4"/>
        <v>2400000</v>
      </c>
      <c r="N59" s="54">
        <f t="shared" si="13"/>
        <v>0</v>
      </c>
      <c r="O59" s="44">
        <f t="shared" si="12"/>
        <v>0</v>
      </c>
    </row>
    <row r="60" spans="1:15" x14ac:dyDescent="0.25">
      <c r="A60" s="45" t="s">
        <v>109</v>
      </c>
      <c r="B60" s="67" t="s">
        <v>110</v>
      </c>
      <c r="C60" s="55">
        <v>2400000</v>
      </c>
      <c r="D60" s="48"/>
      <c r="E60" s="49"/>
      <c r="F60" s="50"/>
      <c r="G60" s="51"/>
      <c r="H60" s="52">
        <f t="shared" si="3"/>
        <v>2400000</v>
      </c>
      <c r="I60" s="48">
        <f>135802+149500+149500+149400+148000+509228+154000+154000+154000+388570+154000</f>
        <v>2246000</v>
      </c>
      <c r="J60" s="56">
        <v>154000</v>
      </c>
      <c r="K60" s="52">
        <f t="shared" si="7"/>
        <v>2400000</v>
      </c>
      <c r="L60" s="41">
        <f t="shared" si="1"/>
        <v>1</v>
      </c>
      <c r="M60" s="53">
        <f t="shared" si="4"/>
        <v>2400000</v>
      </c>
      <c r="N60" s="54">
        <f t="shared" si="13"/>
        <v>0</v>
      </c>
      <c r="O60" s="44">
        <f t="shared" si="12"/>
        <v>0</v>
      </c>
    </row>
    <row r="61" spans="1:15" x14ac:dyDescent="0.25">
      <c r="A61" s="45" t="s">
        <v>111</v>
      </c>
      <c r="B61" s="67" t="s">
        <v>112</v>
      </c>
      <c r="C61" s="55">
        <v>4800000</v>
      </c>
      <c r="D61" s="48"/>
      <c r="E61" s="49"/>
      <c r="F61" s="50"/>
      <c r="G61" s="51"/>
      <c r="H61" s="52">
        <f t="shared" si="3"/>
        <v>4800000</v>
      </c>
      <c r="I61" s="48">
        <f>271603+298700+298700+298500+295700+1018456+307900+307900+307900+777040+307900</f>
        <v>4490299</v>
      </c>
      <c r="J61" s="56">
        <v>309701</v>
      </c>
      <c r="K61" s="52">
        <f t="shared" si="7"/>
        <v>4800000</v>
      </c>
      <c r="L61" s="41">
        <f t="shared" si="1"/>
        <v>1</v>
      </c>
      <c r="M61" s="53">
        <f t="shared" si="4"/>
        <v>4800000</v>
      </c>
      <c r="N61" s="54">
        <f t="shared" si="13"/>
        <v>0</v>
      </c>
      <c r="O61" s="44">
        <f t="shared" si="12"/>
        <v>0</v>
      </c>
    </row>
    <row r="62" spans="1:15" x14ac:dyDescent="0.25">
      <c r="A62" s="45" t="s">
        <v>113</v>
      </c>
      <c r="B62" s="67" t="s">
        <v>114</v>
      </c>
      <c r="C62" s="55">
        <v>5000000</v>
      </c>
      <c r="D62" s="48"/>
      <c r="E62" s="49"/>
      <c r="F62" s="50"/>
      <c r="G62" s="51">
        <v>5000000</v>
      </c>
      <c r="H62" s="52">
        <f t="shared" si="3"/>
        <v>0</v>
      </c>
      <c r="I62" s="48"/>
      <c r="J62" s="48"/>
      <c r="K62" s="52">
        <f t="shared" si="7"/>
        <v>0</v>
      </c>
      <c r="L62" s="41" t="e">
        <f t="shared" si="1"/>
        <v>#DIV/0!</v>
      </c>
      <c r="M62" s="42">
        <f t="shared" si="4"/>
        <v>0</v>
      </c>
      <c r="N62" s="54">
        <f t="shared" si="13"/>
        <v>0</v>
      </c>
      <c r="O62" s="44" t="e">
        <f t="shared" si="12"/>
        <v>#DIV/0!</v>
      </c>
    </row>
    <row r="63" spans="1:15" x14ac:dyDescent="0.25">
      <c r="A63" s="95"/>
      <c r="B63" s="69" t="s">
        <v>115</v>
      </c>
      <c r="C63" s="70">
        <f>C52+C47+C30+C19+C24+C8</f>
        <v>970934302</v>
      </c>
      <c r="D63" s="39">
        <f>D9+D52</f>
        <v>133200000</v>
      </c>
      <c r="E63" s="39">
        <f>E8+E19+E24+E30+E47</f>
        <v>180624365</v>
      </c>
      <c r="F63" s="39">
        <f>F52+F47+F30+F24+F19+F8</f>
        <v>213100480</v>
      </c>
      <c r="G63" s="39">
        <f>G52+G47+G30+G24+G19+G8</f>
        <v>213100480</v>
      </c>
      <c r="H63" s="39">
        <f>H8+H19+H24+H30+H47+H52</f>
        <v>1018358667</v>
      </c>
      <c r="I63" s="39">
        <f>I52+I47+I30+I24+I19+I8</f>
        <v>883058763</v>
      </c>
      <c r="J63" s="39">
        <f>J52+J47+J30+J24+J19+J8</f>
        <v>135299904</v>
      </c>
      <c r="K63" s="39">
        <f>K52+K47+K30+K24+K19+K8</f>
        <v>873038865</v>
      </c>
      <c r="L63" s="41">
        <f t="shared" si="1"/>
        <v>0.85729998014540387</v>
      </c>
      <c r="M63" s="42">
        <f>M52+M47+M30+M24+M19+M8</f>
        <v>1018358667</v>
      </c>
      <c r="N63" s="39">
        <f>N52+N47+N30+N24+N19+N8</f>
        <v>0</v>
      </c>
      <c r="O63" s="44">
        <f t="shared" si="12"/>
        <v>0</v>
      </c>
    </row>
    <row r="64" spans="1:15" ht="24.75" customHeight="1" thickBot="1" x14ac:dyDescent="0.3">
      <c r="A64" s="96"/>
      <c r="B64" s="82" t="s">
        <v>116</v>
      </c>
      <c r="C64" s="83" t="s">
        <v>117</v>
      </c>
      <c r="D64" s="83"/>
      <c r="E64" s="84"/>
      <c r="F64" s="84"/>
      <c r="G64" s="85"/>
      <c r="H64" s="86"/>
      <c r="I64" s="87"/>
      <c r="J64" s="86"/>
      <c r="K64" s="86"/>
      <c r="L64" s="88"/>
      <c r="M64" s="89"/>
      <c r="N64" s="90"/>
      <c r="O64" s="91"/>
    </row>
    <row r="65" spans="4:14" x14ac:dyDescent="0.25">
      <c r="K65" s="92"/>
      <c r="M65" s="93"/>
    </row>
    <row r="66" spans="4:14" x14ac:dyDescent="0.25">
      <c r="G66" s="92">
        <f>G63-F63</f>
        <v>0</v>
      </c>
      <c r="M66" s="93"/>
    </row>
    <row r="67" spans="4:14" x14ac:dyDescent="0.25">
      <c r="D67" s="92"/>
      <c r="F67" s="92"/>
      <c r="G67" s="92"/>
      <c r="K67" s="92"/>
      <c r="M67" s="93"/>
      <c r="N67" s="92"/>
    </row>
    <row r="68" spans="4:14" x14ac:dyDescent="0.25">
      <c r="G68" s="92"/>
      <c r="I68" s="92"/>
      <c r="J68" s="94"/>
      <c r="M68" s="93"/>
      <c r="N68" s="92"/>
    </row>
    <row r="69" spans="4:14" x14ac:dyDescent="0.25">
      <c r="D69" s="92"/>
      <c r="J69" s="92"/>
      <c r="L69" s="92"/>
      <c r="M69" s="93"/>
      <c r="N69" s="92"/>
    </row>
    <row r="70" spans="4:14" x14ac:dyDescent="0.25">
      <c r="J70" s="92"/>
      <c r="M70" s="93"/>
      <c r="N70" s="92"/>
    </row>
    <row r="71" spans="4:14" x14ac:dyDescent="0.25">
      <c r="J71" s="92"/>
      <c r="M71" s="93"/>
    </row>
    <row r="72" spans="4:14" x14ac:dyDescent="0.25">
      <c r="M72" s="93"/>
    </row>
    <row r="73" spans="4:14" x14ac:dyDescent="0.25">
      <c r="M73" s="93"/>
    </row>
    <row r="74" spans="4:14" x14ac:dyDescent="0.25">
      <c r="M74" s="93"/>
    </row>
    <row r="75" spans="4:14" x14ac:dyDescent="0.25">
      <c r="M75" s="93"/>
    </row>
    <row r="76" spans="4:14" x14ac:dyDescent="0.25">
      <c r="M76" s="93"/>
    </row>
    <row r="77" spans="4:14" x14ac:dyDescent="0.25">
      <c r="M77" s="93"/>
    </row>
    <row r="78" spans="4:14" x14ac:dyDescent="0.25">
      <c r="M78" s="93"/>
    </row>
    <row r="79" spans="4:14" x14ac:dyDescent="0.25">
      <c r="M79" s="93"/>
    </row>
    <row r="80" spans="4:14" x14ac:dyDescent="0.25">
      <c r="M80" s="93"/>
    </row>
    <row r="81" spans="13:13" x14ac:dyDescent="0.25">
      <c r="M81" s="93"/>
    </row>
    <row r="82" spans="13:13" x14ac:dyDescent="0.25">
      <c r="M82" s="93"/>
    </row>
    <row r="83" spans="13:13" x14ac:dyDescent="0.25">
      <c r="M83" s="93"/>
    </row>
    <row r="84" spans="13:13" x14ac:dyDescent="0.25">
      <c r="M84" s="93"/>
    </row>
    <row r="85" spans="13:13" x14ac:dyDescent="0.25">
      <c r="M85" s="93"/>
    </row>
    <row r="86" spans="13:13" x14ac:dyDescent="0.25">
      <c r="M86" s="93"/>
    </row>
    <row r="87" spans="13:13" x14ac:dyDescent="0.25">
      <c r="M87" s="93"/>
    </row>
    <row r="88" spans="13:13" x14ac:dyDescent="0.25">
      <c r="M88" s="93"/>
    </row>
    <row r="89" spans="13:13" x14ac:dyDescent="0.25">
      <c r="M89" s="93"/>
    </row>
    <row r="90" spans="13:13" x14ac:dyDescent="0.25">
      <c r="M90" s="93"/>
    </row>
    <row r="91" spans="13:13" x14ac:dyDescent="0.25">
      <c r="M91" s="93"/>
    </row>
    <row r="92" spans="13:13" x14ac:dyDescent="0.25">
      <c r="M92" s="93"/>
    </row>
    <row r="93" spans="13:13" x14ac:dyDescent="0.25">
      <c r="M93" s="93"/>
    </row>
    <row r="94" spans="13:13" x14ac:dyDescent="0.25">
      <c r="M94" s="93"/>
    </row>
    <row r="95" spans="13:13" x14ac:dyDescent="0.25">
      <c r="M95" s="93"/>
    </row>
    <row r="96" spans="13:13" x14ac:dyDescent="0.25">
      <c r="M96" s="93"/>
    </row>
    <row r="97" spans="13:13" x14ac:dyDescent="0.25">
      <c r="M97" s="93"/>
    </row>
    <row r="98" spans="13:13" x14ac:dyDescent="0.25">
      <c r="M98" s="93"/>
    </row>
    <row r="99" spans="13:13" x14ac:dyDescent="0.25">
      <c r="M99" s="93"/>
    </row>
  </sheetData>
  <pageMargins left="0.7" right="0.7" top="0.75" bottom="0.75" header="0.3" footer="0.3"/>
  <pageSetup paperSize="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2015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Administrativa</dc:creator>
  <cp:lastModifiedBy>admin</cp:lastModifiedBy>
  <cp:lastPrinted>2016-02-03T23:34:44Z</cp:lastPrinted>
  <dcterms:created xsi:type="dcterms:W3CDTF">2016-01-29T19:23:43Z</dcterms:created>
  <dcterms:modified xsi:type="dcterms:W3CDTF">2016-02-03T23:35:33Z</dcterms:modified>
</cp:coreProperties>
</file>